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n\OneDrive\Documents\"/>
    </mc:Choice>
  </mc:AlternateContent>
  <xr:revisionPtr revIDLastSave="0" documentId="13_ncr:1_{1FF09512-13E5-4488-BD4C-01EF418BB26E}" xr6:coauthVersionLast="45" xr6:coauthVersionMax="45" xr10:uidLastSave="{00000000-0000-0000-0000-000000000000}"/>
  <bookViews>
    <workbookView xWindow="-120" yWindow="-120" windowWidth="20730" windowHeight="11160" activeTab="2" xr2:uid="{E498F327-2D25-4227-A98F-3AD7727DE2FA}"/>
  </bookViews>
  <sheets>
    <sheet name="Examen" sheetId="2" r:id="rId1"/>
    <sheet name="ejercicio 1" sheetId="3" r:id="rId2"/>
    <sheet name="ejercicio 2" sheetId="4" r:id="rId3"/>
    <sheet name="ejercio 3" sheetId="5" r:id="rId4"/>
    <sheet name="ejercico 4" sheetId="6" r:id="rId5"/>
    <sheet name="ejercico 5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H9" i="5"/>
  <c r="D15" i="5"/>
  <c r="G37" i="7"/>
  <c r="F37" i="7"/>
  <c r="I31" i="7"/>
  <c r="C17" i="5"/>
  <c r="G20" i="7"/>
  <c r="G28" i="7"/>
  <c r="F25" i="7"/>
  <c r="E23" i="7"/>
  <c r="C13" i="6"/>
  <c r="D24" i="6"/>
  <c r="D22" i="6"/>
  <c r="B11" i="6"/>
  <c r="B10" i="6"/>
  <c r="B9" i="6"/>
  <c r="E33" i="3"/>
  <c r="E35" i="3" s="1"/>
  <c r="F25" i="4"/>
  <c r="E34" i="4"/>
  <c r="E33" i="4"/>
  <c r="E28" i="4"/>
  <c r="E32" i="4"/>
  <c r="E31" i="4"/>
  <c r="F17" i="4"/>
  <c r="H20" i="4"/>
  <c r="K37" i="3"/>
  <c r="L39" i="3"/>
  <c r="M31" i="3"/>
  <c r="M33" i="3"/>
  <c r="E31" i="3"/>
  <c r="H7" i="3" s="1"/>
  <c r="H8" i="3"/>
  <c r="H11" i="3"/>
  <c r="M22" i="3"/>
  <c r="K23" i="3"/>
  <c r="K27" i="3"/>
  <c r="C24" i="3"/>
  <c r="K25" i="3"/>
  <c r="D26" i="3"/>
  <c r="D25" i="3"/>
  <c r="F11" i="3"/>
  <c r="C11" i="3"/>
  <c r="G11" i="3" s="1"/>
  <c r="B11" i="3"/>
  <c r="A11" i="3"/>
  <c r="B10" i="3"/>
  <c r="A10" i="3"/>
  <c r="C10" i="3" s="1"/>
  <c r="B9" i="3"/>
  <c r="A9" i="3"/>
  <c r="C9" i="3" s="1"/>
  <c r="E8" i="3"/>
  <c r="E9" i="3" s="1"/>
  <c r="E10" i="3" s="1"/>
  <c r="E11" i="3" s="1"/>
  <c r="C8" i="3"/>
  <c r="G8" i="3" s="1"/>
  <c r="C7" i="3"/>
  <c r="G7" i="3" s="1"/>
  <c r="H12" i="3" l="1"/>
  <c r="H9" i="3"/>
  <c r="H10" i="3"/>
  <c r="G9" i="3"/>
  <c r="F9" i="3"/>
  <c r="G12" i="3"/>
  <c r="G10" i="3"/>
  <c r="F10" i="3"/>
  <c r="F8" i="3"/>
  <c r="F7" i="3"/>
  <c r="D20" i="2"/>
  <c r="H20" i="2" s="1"/>
  <c r="C20" i="2"/>
  <c r="C21" i="2" s="1"/>
  <c r="B20" i="2"/>
  <c r="B21" i="2" s="1"/>
  <c r="D21" i="2" s="1"/>
  <c r="D19" i="2"/>
  <c r="H19" i="2" s="1"/>
  <c r="C19" i="2"/>
  <c r="B19" i="2"/>
  <c r="F18" i="2"/>
  <c r="F19" i="2" s="1"/>
  <c r="F20" i="2" s="1"/>
  <c r="F21" i="2" s="1"/>
  <c r="D18" i="2"/>
  <c r="H18" i="2" s="1"/>
  <c r="D17" i="2"/>
  <c r="H17" i="2" s="1"/>
  <c r="F12" i="3" l="1"/>
  <c r="H21" i="2"/>
  <c r="G21" i="2"/>
  <c r="H22" i="2"/>
  <c r="G19" i="2"/>
  <c r="G20" i="2"/>
  <c r="G18" i="2"/>
  <c r="G17" i="2"/>
  <c r="G22" i="2" s="1"/>
</calcChain>
</file>

<file path=xl/sharedStrings.xml><?xml version="1.0" encoding="utf-8"?>
<sst xmlns="http://schemas.openxmlformats.org/spreadsheetml/2006/main" count="233" uniqueCount="178">
  <si>
    <t>PRIMER EXAMEN ESTADÍSTICA</t>
  </si>
  <si>
    <t>Nombre y Apellido:</t>
  </si>
  <si>
    <t>Número de Registro:</t>
  </si>
  <si>
    <t>Correo Electrónico:</t>
  </si>
  <si>
    <t>Importante: Lea con cuidado el enunciado de los ejercicios. Es condición para aprobar el examen tener 60 % bien resuelto.</t>
  </si>
  <si>
    <t>Ejercicio 1:</t>
  </si>
  <si>
    <t>Un comercio de artículos de limpieza tiene dos sucursales. De una sucursal Sur se tomaron 900 facturas y se obtuvieron los montos que se presentan</t>
  </si>
  <si>
    <t>en la siguiente distribución:</t>
  </si>
  <si>
    <t>X: Monto</t>
  </si>
  <si>
    <t>Xi</t>
  </si>
  <si>
    <t>f: facturas</t>
  </si>
  <si>
    <t>F</t>
  </si>
  <si>
    <t>Xi*f</t>
  </si>
  <si>
    <r>
      <t>Xi</t>
    </r>
    <r>
      <rPr>
        <b/>
        <sz val="11"/>
        <color theme="1"/>
        <rFont val="Calibri"/>
        <family val="2"/>
      </rPr>
      <t>²*f</t>
    </r>
  </si>
  <si>
    <t>a) De los valores superiores al Modo. ¿Cuál es el porcentaje de facturas que tienen un monto inferior a 340?</t>
  </si>
  <si>
    <t>b) Calcule la variabilidad relativa. Justifique</t>
  </si>
  <si>
    <t xml:space="preserve">c) El dueño del comercio necesita hacer un análisis para reducir el costo de adquisición de algunos de los productos. </t>
  </si>
  <si>
    <t>Determine el monto minimo que se debe fijar si se pretende seleccionar al 15 % de las facturas que mayor monto  tienen.</t>
  </si>
  <si>
    <t>d) Calcule el monto que supera o es superado por el 50 % de las facturas</t>
  </si>
  <si>
    <t>Ejercicio 2:</t>
  </si>
  <si>
    <t>En la sección de clasificación de un correo privado se trabaja en tres turnos. La mitad de la correspondencia es clasificada en el Turno 1, el 20 % de la correspondencia</t>
  </si>
  <si>
    <t>es clasificada en el Turno 2 y el restante en el Turno 3.</t>
  </si>
  <si>
    <t>Se ha comprobado que, en el Turno 1, el 2% de la correspondencia está mal clasificada, como así tambien el 9% en el Turno 2 y el 6% en el Turno 3.</t>
  </si>
  <si>
    <t>a) Si se selecciona una correspondencia al azar y resulta mal clasificada. ¿Cuál es la probabilidad de que haya sido clasificada en el Turno 2?</t>
  </si>
  <si>
    <t>b) Si se selecciona una correspondencia al azar y resultaque no está mal clasificada. ¿Cuál es la probabilidad de que no haya sido clasificada en el Turno 1?</t>
  </si>
  <si>
    <t>c) ¿Cuál es la probabilidad de que la correspondencia sea clasificada en el Turno 3 o esté mal clasificada?</t>
  </si>
  <si>
    <t>Ejercicio 3:</t>
  </si>
  <si>
    <t>Un sistema de computación en red falla, en promedio, 2 veces cada 4000 minutos de trabajo continuo.</t>
  </si>
  <si>
    <t>a)¿Cuál es la probabilidad de que en 2500 minutos el trabajo continuo no falle en el sistema?</t>
  </si>
  <si>
    <t>b)¿Cuál es la probabilidad de que en 44000 minutos de trabajo continuo el sistema falle por lo menos 12 veces?</t>
  </si>
  <si>
    <t>Ejercicio 4:</t>
  </si>
  <si>
    <t>Para concretar un trabajo se requiere la realización de tres tareas consecutivas e independientes. Para la tarea 1, el promedio es de 11 minutos con un desvio de 0,8 minutos.</t>
  </si>
  <si>
    <t>Para la tarea 2 el promedio es de 22 minutos y un desvio de 1,7 minutos y para la tarea 3 el promedio es de 5 minutos y un desvio de 0,4 minutos.</t>
  </si>
  <si>
    <t>Sabiendo que el tiempo que se tarda para realizarse cada tarea tiene distribución normal.</t>
  </si>
  <si>
    <t>a) ¿Cuál es la probabilidad de que el trabajo se concrete en menos de 45 minutos?</t>
  </si>
  <si>
    <t>b) Calcule el tiempo solo superado por el 90% para concretar el trabajo.</t>
  </si>
  <si>
    <t>Ejercicio 5:</t>
  </si>
  <si>
    <t>Los ingresos diarios por ventas de una empresa en la sucursal A se distribuye normalmente con una media de $6100 y un desvio de $220, y los ingresos diarios por ventas</t>
  </si>
  <si>
    <t xml:space="preserve">de la sucursal B se distribuyen uniformemente entre $4800 y $6000. La probabilidad de que un ingreso sea de la sucursal B es de 45%. </t>
  </si>
  <si>
    <t xml:space="preserve"> a) Si se sabe que el ingreso diario por ventas es inferior a $5900. ¿Cuál es la probabilidad de que sea de la sucursal A?</t>
  </si>
  <si>
    <t>b) Si se desea analizar a lo sumo 10 facturas de la sucursal B. ¿Cuál es la probabilidad de revisar 22 facturas que tengan un ingreso superior a $5900?</t>
  </si>
  <si>
    <t xml:space="preserve">N= </t>
  </si>
  <si>
    <t>a)</t>
  </si>
  <si>
    <t xml:space="preserve">Modo= </t>
  </si>
  <si>
    <r>
      <t>li+</t>
    </r>
    <r>
      <rPr>
        <u/>
        <sz val="11"/>
        <color theme="1"/>
        <rFont val="Calibri"/>
        <family val="2"/>
        <scheme val="minor"/>
      </rPr>
      <t>(fmo-fanterior)</t>
    </r>
    <r>
      <rPr>
        <sz val="11"/>
        <color theme="1"/>
        <rFont val="Calibri"/>
        <family val="2"/>
        <scheme val="minor"/>
      </rPr>
      <t>) x a</t>
    </r>
  </si>
  <si>
    <t xml:space="preserve"> (fmo-fant)+(fmo-fpost)</t>
  </si>
  <si>
    <t>mo=</t>
  </si>
  <si>
    <t>Delta 1 =</t>
  </si>
  <si>
    <t xml:space="preserve">delta 2= </t>
  </si>
  <si>
    <t>250-300</t>
  </si>
  <si>
    <t>a=</t>
  </si>
  <si>
    <t>Rango Percentilar=</t>
  </si>
  <si>
    <t>=</t>
  </si>
  <si>
    <t>F(289,4736&lt;X&lt;340)=</t>
  </si>
  <si>
    <t>F(340) -F(289,4736)</t>
  </si>
  <si>
    <t>F(289,4736)=</t>
  </si>
  <si>
    <r>
      <t xml:space="preserve">Fant + </t>
    </r>
    <r>
      <rPr>
        <u/>
        <sz val="11"/>
        <color theme="1"/>
        <rFont val="Calibri"/>
        <family val="2"/>
        <scheme val="minor"/>
      </rPr>
      <t xml:space="preserve"> x-li  </t>
    </r>
    <r>
      <rPr>
        <sz val="11"/>
        <color theme="1"/>
        <rFont val="Calibri"/>
        <family val="2"/>
        <scheme val="minor"/>
      </rPr>
      <t xml:space="preserve"> .f</t>
    </r>
  </si>
  <si>
    <t xml:space="preserve">       a</t>
  </si>
  <si>
    <t>F(340)=</t>
  </si>
  <si>
    <r>
      <rPr>
        <u/>
        <sz val="11"/>
        <color theme="1"/>
        <rFont val="Calibri"/>
        <family val="2"/>
        <scheme val="minor"/>
      </rPr>
      <t>F (340)-F(289,4736)-</t>
    </r>
    <r>
      <rPr>
        <sz val="11"/>
        <color theme="1"/>
        <rFont val="Calibri"/>
        <family val="2"/>
        <scheme val="minor"/>
      </rPr>
      <t xml:space="preserve"> x100</t>
    </r>
  </si>
  <si>
    <t xml:space="preserve">              F(400)-F(340)</t>
  </si>
  <si>
    <t>b)</t>
  </si>
  <si>
    <t>promedio o media=</t>
  </si>
  <si>
    <t>∑ X.f</t>
  </si>
  <si>
    <t>n</t>
  </si>
  <si>
    <r>
      <t>Varianza S</t>
    </r>
    <r>
      <rPr>
        <b/>
        <sz val="11"/>
        <color theme="1"/>
        <rFont val="Calibri"/>
        <family val="2"/>
      </rPr>
      <t>²(X)=</t>
    </r>
  </si>
  <si>
    <r>
      <t>Desvío S</t>
    </r>
    <r>
      <rPr>
        <b/>
        <sz val="11"/>
        <color theme="1"/>
        <rFont val="Calibri"/>
        <family val="2"/>
      </rPr>
      <t>(X)=</t>
    </r>
  </si>
  <si>
    <t>Raiz(S²(X))</t>
  </si>
  <si>
    <t xml:space="preserve"> S(X)</t>
  </si>
  <si>
    <t>me</t>
  </si>
  <si>
    <t>(Xi-me)²*f</t>
  </si>
  <si>
    <t>∑(X²-me²).f</t>
  </si>
  <si>
    <t>c)</t>
  </si>
  <si>
    <t>X85=</t>
  </si>
  <si>
    <t>Percentil=</t>
  </si>
  <si>
    <r>
      <t>li +</t>
    </r>
    <r>
      <rPr>
        <u/>
        <sz val="11"/>
        <color theme="1"/>
        <rFont val="Calibri"/>
        <family val="2"/>
        <scheme val="minor"/>
      </rPr>
      <t xml:space="preserve"> OAP-Fant</t>
    </r>
    <r>
      <rPr>
        <sz val="11"/>
        <color theme="1"/>
        <rFont val="Calibri"/>
        <family val="2"/>
        <scheme val="minor"/>
      </rPr>
      <t xml:space="preserve">  x a</t>
    </r>
  </si>
  <si>
    <t xml:space="preserve">               f</t>
  </si>
  <si>
    <t>intervalo</t>
  </si>
  <si>
    <t>OAP=</t>
  </si>
  <si>
    <t>k x n /100</t>
  </si>
  <si>
    <t>300-350</t>
  </si>
  <si>
    <t>d)</t>
  </si>
  <si>
    <t xml:space="preserve"> Cv(X)=</t>
  </si>
  <si>
    <t>X50=</t>
  </si>
  <si>
    <t>El monto superado por el50% de las facturas es de $275,6.</t>
  </si>
  <si>
    <t xml:space="preserve">El monto minimo que se debe fijar es de $340,55. </t>
  </si>
  <si>
    <t>El porcentaje de facturas que tienen un monto inferior  a $340  es de 64%.</t>
  </si>
  <si>
    <t>T1</t>
  </si>
  <si>
    <t>T2</t>
  </si>
  <si>
    <t>T3</t>
  </si>
  <si>
    <t>P(T2)=0,20</t>
  </si>
  <si>
    <t>P(T1)= 0,50</t>
  </si>
  <si>
    <t>P(T3)=0,30</t>
  </si>
  <si>
    <t>P(M/T1)= 0,02</t>
  </si>
  <si>
    <t>M= Mal clasificada</t>
  </si>
  <si>
    <t>P(T2/M)=</t>
  </si>
  <si>
    <t>P(M/T2)=0,09</t>
  </si>
  <si>
    <t>P(M/T3)=0,06</t>
  </si>
  <si>
    <t>BAYES</t>
  </si>
  <si>
    <t>PROB TOTAL</t>
  </si>
  <si>
    <t>P(M/ T2) x P (T2)</t>
  </si>
  <si>
    <t>P(M)</t>
  </si>
  <si>
    <t>P(M)=</t>
  </si>
  <si>
    <t>P(M/T1) x P(T1)+ P(M/T1) P(T2) + P(M/T3) P(T3)=</t>
  </si>
  <si>
    <t>P(noT1/noM)=</t>
  </si>
  <si>
    <t>P(noM)</t>
  </si>
  <si>
    <t>Regla del complemento</t>
  </si>
  <si>
    <t xml:space="preserve"> P ( noM / noT1)=</t>
  </si>
  <si>
    <t>P(noM/ noT1) x P (noT1)</t>
  </si>
  <si>
    <t>1-P(M/not1)</t>
  </si>
  <si>
    <t>P(M/noT1)=</t>
  </si>
  <si>
    <t xml:space="preserve"> P ( not1 / noM)=</t>
  </si>
  <si>
    <t>1-P(T1/noM)</t>
  </si>
  <si>
    <t xml:space="preserve"> P ( noT1 / M)=</t>
  </si>
  <si>
    <t>1-P(T1/M)</t>
  </si>
  <si>
    <t>P(noM/t1)=</t>
  </si>
  <si>
    <t>1-P(M/t1)</t>
  </si>
  <si>
    <t>1-(noM/T1)</t>
  </si>
  <si>
    <t>P(noM)=</t>
  </si>
  <si>
    <t>1-P(M)</t>
  </si>
  <si>
    <t>P(not1)=</t>
  </si>
  <si>
    <t>1-P(T1))</t>
  </si>
  <si>
    <t>La probabilidad de que haya sido BIEN clasificada en el T1 es de 0,5136</t>
  </si>
  <si>
    <t>La probabilidad de que haya sido mal clasificada en el T2 es de 0,391</t>
  </si>
  <si>
    <r>
      <t>P(T1</t>
    </r>
    <r>
      <rPr>
        <sz val="11"/>
        <color theme="1"/>
        <rFont val="Calibri"/>
        <family val="2"/>
      </rPr>
      <t>ˬM)=</t>
    </r>
  </si>
  <si>
    <t>P(T1) + P ( M) - P ( t1   M)</t>
  </si>
  <si>
    <t>P ( T1   M)=</t>
  </si>
  <si>
    <t>P(t1 / m) x P(M)</t>
  </si>
  <si>
    <t>P(t1/m)=</t>
  </si>
  <si>
    <t>1-P(noT1/M)</t>
  </si>
  <si>
    <t>El coeficente de variación es de 0,2168, es heterogeneo, los datos no son representativos de la muesta</t>
  </si>
  <si>
    <t>minutos</t>
  </si>
  <si>
    <r>
      <t>S</t>
    </r>
    <r>
      <rPr>
        <sz val="11"/>
        <color theme="1"/>
        <rFont val="Calibri"/>
        <family val="2"/>
      </rPr>
      <t>²(X)=</t>
    </r>
  </si>
  <si>
    <t>S(X)=</t>
  </si>
  <si>
    <r>
      <t>me=</t>
    </r>
    <r>
      <rPr>
        <sz val="11"/>
        <color theme="1"/>
        <rFont val="Calibri"/>
        <family val="2"/>
      </rPr>
      <t>µ</t>
    </r>
  </si>
  <si>
    <t>P(X&lt;45)</t>
  </si>
  <si>
    <t>La probabilidad de que el trabajo se concrete en menos de 45mins es de 0,904</t>
  </si>
  <si>
    <t>Con app</t>
  </si>
  <si>
    <t>X=</t>
  </si>
  <si>
    <t>F(0,10)= Z</t>
  </si>
  <si>
    <t>Z= -1,281</t>
  </si>
  <si>
    <t xml:space="preserve"> X - 38</t>
  </si>
  <si>
    <t>A</t>
  </si>
  <si>
    <t>B</t>
  </si>
  <si>
    <t xml:space="preserve">Mo = μ = </t>
  </si>
  <si>
    <t>σ =</t>
  </si>
  <si>
    <t>P (A) =</t>
  </si>
  <si>
    <t>P (B) =</t>
  </si>
  <si>
    <t>b=</t>
  </si>
  <si>
    <t>P(A/X&lt;5900)=</t>
  </si>
  <si>
    <t>P(X&lt;5900/ A) x P (A)</t>
  </si>
  <si>
    <t>P(X&lt;5900)</t>
  </si>
  <si>
    <t>P(X&lt;5900/ A)=</t>
  </si>
  <si>
    <t>P(X&lt;5900/ B)=</t>
  </si>
  <si>
    <t>5900-4800</t>
  </si>
  <si>
    <t>P(X&lt;5900)=</t>
  </si>
  <si>
    <t>P(X&lt;5900/ A) P(A)+ P(X&lt;5900/ B) P(B)=</t>
  </si>
  <si>
    <t>La prob de quesea de la sucursal A es de 0,1949.</t>
  </si>
  <si>
    <t>B)</t>
  </si>
  <si>
    <t>Q11:R11C31Q11</t>
  </si>
  <si>
    <t>aproximo a binomial</t>
  </si>
  <si>
    <t>X=1,25</t>
  </si>
  <si>
    <t>(2500x2)/4000</t>
  </si>
  <si>
    <t>P(X=0)=</t>
  </si>
  <si>
    <t>(1,25^0 e^-1,25)/</t>
  </si>
  <si>
    <t>x=22</t>
  </si>
  <si>
    <t>en hoja</t>
  </si>
  <si>
    <t>(44000x2/4000)</t>
  </si>
  <si>
    <t>P(x&gt;=12)=</t>
  </si>
  <si>
    <t>1- F(12)=</t>
  </si>
  <si>
    <t>F(12)=</t>
  </si>
  <si>
    <t>P(X&gt;5900/b)=</t>
  </si>
  <si>
    <t>1-P(X&lt;5900/b)=</t>
  </si>
  <si>
    <t>Ppa(n&lt;=10 r=22 p=P(X&gt;5900))</t>
  </si>
  <si>
    <t>aproxima normal ya que n&gt;20 y p entre 0,05 y 0,95</t>
  </si>
  <si>
    <t>Pno( x&lt;9,5 / mu=1,743 sigma=1,2639)=</t>
  </si>
  <si>
    <t>Pbi(r&lt;=9/ n=21 p=0,0833)*p</t>
  </si>
  <si>
    <t>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</si>
</sst>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1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1" applyNumberFormat="1" applyFont="1" applyBorder="1"/>
    <xf numFmtId="164" fontId="0" fillId="0" borderId="11" xfId="0" applyNumberFormat="1" applyBorder="1"/>
    <xf numFmtId="0" fontId="3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9" fontId="0" fillId="3" borderId="0" xfId="2" applyFont="1" applyFill="1"/>
    <xf numFmtId="0" fontId="0" fillId="3" borderId="0" xfId="0" applyFill="1"/>
    <xf numFmtId="0" fontId="0" fillId="0" borderId="14" xfId="0" applyBorder="1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164" fontId="0" fillId="4" borderId="0" xfId="0" applyNumberFormat="1" applyFill="1"/>
    <xf numFmtId="0" fontId="2" fillId="0" borderId="0" xfId="0" applyFont="1" applyAlignment="1">
      <alignment horizontal="right"/>
    </xf>
    <xf numFmtId="0" fontId="0" fillId="5" borderId="0" xfId="0" applyFill="1"/>
    <xf numFmtId="0" fontId="0" fillId="6" borderId="0" xfId="0" applyFill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Fill="1" applyBorder="1"/>
    <xf numFmtId="0" fontId="2" fillId="0" borderId="0" xfId="0" applyFont="1" applyBorder="1"/>
    <xf numFmtId="0" fontId="0" fillId="0" borderId="0" xfId="0" applyFill="1" applyBorder="1"/>
    <xf numFmtId="0" fontId="2" fillId="7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8" borderId="0" xfId="0" applyFill="1"/>
    <xf numFmtId="0" fontId="0" fillId="7" borderId="0" xfId="0" applyFill="1"/>
    <xf numFmtId="0" fontId="0" fillId="9" borderId="0" xfId="0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/>
    <xf numFmtId="0" fontId="8" fillId="0" borderId="0" xfId="0" applyFont="1"/>
    <xf numFmtId="0" fontId="0" fillId="0" borderId="17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0</xdr:row>
      <xdr:rowOff>76200</xdr:rowOff>
    </xdr:from>
    <xdr:to>
      <xdr:col>10</xdr:col>
      <xdr:colOff>19050</xdr:colOff>
      <xdr:row>3</xdr:row>
      <xdr:rowOff>47625</xdr:rowOff>
    </xdr:to>
    <xdr:pic>
      <xdr:nvPicPr>
        <xdr:cNvPr id="2" name="image6.png">
          <a:extLst>
            <a:ext uri="{FF2B5EF4-FFF2-40B4-BE49-F238E27FC236}">
              <a16:creationId xmlns:a16="http://schemas.microsoft.com/office/drawing/2014/main" id="{A25F1599-F427-4B26-BAE2-78588FEC69B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038975" y="76200"/>
          <a:ext cx="790575" cy="714375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76200</xdr:colOff>
      <xdr:row>0</xdr:row>
      <xdr:rowOff>104775</xdr:rowOff>
    </xdr:from>
    <xdr:to>
      <xdr:col>10</xdr:col>
      <xdr:colOff>733425</xdr:colOff>
      <xdr:row>3</xdr:row>
      <xdr:rowOff>28575</xdr:rowOff>
    </xdr:to>
    <xdr:pic>
      <xdr:nvPicPr>
        <xdr:cNvPr id="3" name="image7.png">
          <a:extLst>
            <a:ext uri="{FF2B5EF4-FFF2-40B4-BE49-F238E27FC236}">
              <a16:creationId xmlns:a16="http://schemas.microsoft.com/office/drawing/2014/main" id="{DF95CC1F-C89D-4C09-89A3-48268B9F9CB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886700" y="104775"/>
          <a:ext cx="657225" cy="666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B4DE-BBE2-48BA-A8FF-4CB7902184D4}">
  <dimension ref="B2:K58"/>
  <sheetViews>
    <sheetView showGridLines="0" topLeftCell="A42" workbookViewId="0">
      <selection activeCell="A53" sqref="A53:N60"/>
    </sheetView>
  </sheetViews>
  <sheetFormatPr baseColWidth="10" defaultRowHeight="15" x14ac:dyDescent="0.25"/>
  <cols>
    <col min="7" max="7" width="11.5703125" bestFit="1" customWidth="1"/>
    <col min="8" max="8" width="14.140625" bestFit="1" customWidth="1"/>
  </cols>
  <sheetData>
    <row r="2" spans="2:11" ht="28.5" x14ac:dyDescent="0.25">
      <c r="D2" s="23" t="s">
        <v>0</v>
      </c>
      <c r="E2" s="23"/>
      <c r="F2" s="23"/>
      <c r="G2" s="23"/>
      <c r="H2" s="23"/>
      <c r="I2" s="23"/>
    </row>
    <row r="4" spans="2:11" ht="15.75" thickBot="1" x14ac:dyDescent="0.3"/>
    <row r="5" spans="2:11" x14ac:dyDescent="0.25">
      <c r="B5" s="1" t="s">
        <v>1</v>
      </c>
      <c r="C5" s="2"/>
      <c r="D5" s="2"/>
      <c r="E5" s="3"/>
      <c r="F5" s="3"/>
      <c r="G5" s="3"/>
      <c r="H5" s="3"/>
      <c r="I5" s="3"/>
      <c r="J5" s="3"/>
      <c r="K5" s="4"/>
    </row>
    <row r="6" spans="2:11" x14ac:dyDescent="0.25">
      <c r="B6" s="5" t="s">
        <v>2</v>
      </c>
      <c r="C6" s="6"/>
      <c r="D6" s="6"/>
      <c r="K6" s="7"/>
    </row>
    <row r="7" spans="2:11" ht="15.75" thickBot="1" x14ac:dyDescent="0.3">
      <c r="B7" s="8" t="s">
        <v>3</v>
      </c>
      <c r="C7" s="9"/>
      <c r="D7" s="9"/>
      <c r="E7" s="10"/>
      <c r="F7" s="10"/>
      <c r="G7" s="10"/>
      <c r="H7" s="10"/>
      <c r="I7" s="10"/>
      <c r="J7" s="10"/>
      <c r="K7" s="11"/>
    </row>
    <row r="9" spans="2:11" x14ac:dyDescent="0.25">
      <c r="B9" s="12" t="s">
        <v>4</v>
      </c>
    </row>
    <row r="11" spans="2:11" x14ac:dyDescent="0.25">
      <c r="B11" s="12" t="s">
        <v>5</v>
      </c>
    </row>
    <row r="13" spans="2:11" x14ac:dyDescent="0.25">
      <c r="B13" t="s">
        <v>6</v>
      </c>
    </row>
    <row r="14" spans="2:11" x14ac:dyDescent="0.25">
      <c r="B14" t="s">
        <v>7</v>
      </c>
    </row>
    <row r="15" spans="2:11" ht="15.75" thickBot="1" x14ac:dyDescent="0.3"/>
    <row r="16" spans="2:11" ht="15.75" thickBot="1" x14ac:dyDescent="0.3">
      <c r="B16" s="24" t="s">
        <v>8</v>
      </c>
      <c r="C16" s="25"/>
      <c r="D16" s="13" t="s">
        <v>9</v>
      </c>
      <c r="E16" s="13" t="s">
        <v>10</v>
      </c>
      <c r="F16" s="13" t="s">
        <v>11</v>
      </c>
      <c r="G16" s="13" t="s">
        <v>12</v>
      </c>
      <c r="H16" s="13" t="s">
        <v>13</v>
      </c>
    </row>
    <row r="17" spans="2:8" x14ac:dyDescent="0.25">
      <c r="B17" s="14">
        <v>150</v>
      </c>
      <c r="C17" s="15">
        <v>200</v>
      </c>
      <c r="D17" s="16">
        <f>AVERAGE(B17:C17)</f>
        <v>175</v>
      </c>
      <c r="E17" s="16">
        <v>117</v>
      </c>
      <c r="F17" s="16">
        <v>117</v>
      </c>
      <c r="G17" s="17">
        <f>D17*E17</f>
        <v>20475</v>
      </c>
      <c r="H17" s="17">
        <f>D17*D17*E17</f>
        <v>3583125</v>
      </c>
    </row>
    <row r="18" spans="2:8" x14ac:dyDescent="0.25">
      <c r="B18" s="14">
        <v>200</v>
      </c>
      <c r="C18" s="15">
        <v>250</v>
      </c>
      <c r="D18" s="16">
        <f t="shared" ref="D18:D21" si="0">AVERAGE(B18:C18)</f>
        <v>225</v>
      </c>
      <c r="E18" s="16">
        <v>205</v>
      </c>
      <c r="F18" s="16">
        <f>E18+F17</f>
        <v>322</v>
      </c>
      <c r="G18" s="17">
        <f t="shared" ref="G18:G21" si="1">D18*E18</f>
        <v>46125</v>
      </c>
      <c r="H18" s="17">
        <f t="shared" ref="H18:H21" si="2">D18*D18*E18</f>
        <v>10378125</v>
      </c>
    </row>
    <row r="19" spans="2:8" x14ac:dyDescent="0.25">
      <c r="B19" s="14">
        <f>B18+50</f>
        <v>250</v>
      </c>
      <c r="C19" s="15">
        <f>C18+50</f>
        <v>300</v>
      </c>
      <c r="D19" s="16">
        <f t="shared" si="0"/>
        <v>275</v>
      </c>
      <c r="E19" s="16">
        <v>250</v>
      </c>
      <c r="F19" s="16">
        <f t="shared" ref="F19:F21" si="3">E19+F18</f>
        <v>572</v>
      </c>
      <c r="G19" s="17">
        <f t="shared" si="1"/>
        <v>68750</v>
      </c>
      <c r="H19" s="17">
        <f t="shared" si="2"/>
        <v>18906250</v>
      </c>
    </row>
    <row r="20" spans="2:8" x14ac:dyDescent="0.25">
      <c r="B20" s="14">
        <f t="shared" ref="B20:C21" si="4">B19+50</f>
        <v>300</v>
      </c>
      <c r="C20" s="15">
        <f t="shared" si="4"/>
        <v>350</v>
      </c>
      <c r="D20" s="16">
        <f t="shared" si="0"/>
        <v>325</v>
      </c>
      <c r="E20" s="16">
        <v>238</v>
      </c>
      <c r="F20" s="16">
        <f t="shared" si="3"/>
        <v>810</v>
      </c>
      <c r="G20" s="17">
        <f t="shared" si="1"/>
        <v>77350</v>
      </c>
      <c r="H20" s="17">
        <f t="shared" si="2"/>
        <v>25138750</v>
      </c>
    </row>
    <row r="21" spans="2:8" ht="15.75" thickBot="1" x14ac:dyDescent="0.3">
      <c r="B21" s="18">
        <f t="shared" si="4"/>
        <v>350</v>
      </c>
      <c r="C21" s="19">
        <f t="shared" si="4"/>
        <v>400</v>
      </c>
      <c r="D21" s="20">
        <f t="shared" si="0"/>
        <v>375</v>
      </c>
      <c r="E21" s="20">
        <v>90</v>
      </c>
      <c r="F21" s="20">
        <f t="shared" si="3"/>
        <v>900</v>
      </c>
      <c r="G21" s="21">
        <f t="shared" si="1"/>
        <v>33750</v>
      </c>
      <c r="H21" s="21">
        <f t="shared" si="2"/>
        <v>12656250</v>
      </c>
    </row>
    <row r="22" spans="2:8" ht="15.75" thickBot="1" x14ac:dyDescent="0.3">
      <c r="G22" s="22">
        <f>SUM(G17:G21)</f>
        <v>246450</v>
      </c>
      <c r="H22" s="22">
        <f>SUM(H17:H21)</f>
        <v>70662500</v>
      </c>
    </row>
    <row r="24" spans="2:8" x14ac:dyDescent="0.25">
      <c r="B24" t="s">
        <v>14</v>
      </c>
    </row>
    <row r="25" spans="2:8" x14ac:dyDescent="0.25">
      <c r="B25" t="s">
        <v>15</v>
      </c>
    </row>
    <row r="26" spans="2:8" x14ac:dyDescent="0.25">
      <c r="B26" t="s">
        <v>16</v>
      </c>
    </row>
    <row r="27" spans="2:8" x14ac:dyDescent="0.25">
      <c r="B27" t="s">
        <v>17</v>
      </c>
    </row>
    <row r="28" spans="2:8" x14ac:dyDescent="0.25">
      <c r="B28" t="s">
        <v>18</v>
      </c>
    </row>
    <row r="30" spans="2:8" x14ac:dyDescent="0.25">
      <c r="B30" s="12" t="s">
        <v>19</v>
      </c>
    </row>
    <row r="32" spans="2:8" x14ac:dyDescent="0.25">
      <c r="B32" t="s">
        <v>20</v>
      </c>
    </row>
    <row r="33" spans="2:2" x14ac:dyDescent="0.25">
      <c r="B33" t="s">
        <v>21</v>
      </c>
    </row>
    <row r="34" spans="2:2" x14ac:dyDescent="0.25">
      <c r="B34" t="s">
        <v>22</v>
      </c>
    </row>
    <row r="35" spans="2:2" x14ac:dyDescent="0.25">
      <c r="B35" t="s">
        <v>23</v>
      </c>
    </row>
    <row r="36" spans="2:2" x14ac:dyDescent="0.25">
      <c r="B36" t="s">
        <v>24</v>
      </c>
    </row>
    <row r="37" spans="2:2" x14ac:dyDescent="0.25">
      <c r="B37" t="s">
        <v>25</v>
      </c>
    </row>
    <row r="39" spans="2:2" x14ac:dyDescent="0.25">
      <c r="B39" s="12" t="s">
        <v>26</v>
      </c>
    </row>
    <row r="41" spans="2:2" x14ac:dyDescent="0.25">
      <c r="B41" t="s">
        <v>27</v>
      </c>
    </row>
    <row r="42" spans="2:2" x14ac:dyDescent="0.25">
      <c r="B42" t="s">
        <v>28</v>
      </c>
    </row>
    <row r="43" spans="2:2" x14ac:dyDescent="0.25">
      <c r="B43" t="s">
        <v>29</v>
      </c>
    </row>
    <row r="45" spans="2:2" x14ac:dyDescent="0.25">
      <c r="B45" s="12" t="s">
        <v>30</v>
      </c>
    </row>
    <row r="47" spans="2:2" x14ac:dyDescent="0.25">
      <c r="B47" t="s">
        <v>31</v>
      </c>
    </row>
    <row r="48" spans="2:2" x14ac:dyDescent="0.25">
      <c r="B48" t="s">
        <v>32</v>
      </c>
    </row>
    <row r="49" spans="2:2" x14ac:dyDescent="0.25">
      <c r="B49" t="s">
        <v>33</v>
      </c>
    </row>
    <row r="50" spans="2:2" x14ac:dyDescent="0.25">
      <c r="B50" t="s">
        <v>34</v>
      </c>
    </row>
    <row r="51" spans="2:2" x14ac:dyDescent="0.25">
      <c r="B51" t="s">
        <v>35</v>
      </c>
    </row>
    <row r="53" spans="2:2" x14ac:dyDescent="0.25">
      <c r="B53" s="12" t="s">
        <v>36</v>
      </c>
    </row>
    <row r="55" spans="2:2" x14ac:dyDescent="0.25">
      <c r="B55" t="s">
        <v>37</v>
      </c>
    </row>
    <row r="56" spans="2:2" x14ac:dyDescent="0.25">
      <c r="B56" t="s">
        <v>38</v>
      </c>
    </row>
    <row r="57" spans="2:2" x14ac:dyDescent="0.25">
      <c r="B57" t="s">
        <v>39</v>
      </c>
    </row>
    <row r="58" spans="2:2" x14ac:dyDescent="0.25">
      <c r="B58" t="s">
        <v>40</v>
      </c>
    </row>
  </sheetData>
  <mergeCells count="2">
    <mergeCell ref="D2:I2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0353-567B-426B-B004-C8F3EE6EEEAF}">
  <dimension ref="A1:N44"/>
  <sheetViews>
    <sheetView topLeftCell="A23" workbookViewId="0">
      <selection activeCell="B39" sqref="B39:I39"/>
    </sheetView>
  </sheetViews>
  <sheetFormatPr baseColWidth="10" defaultRowHeight="15" x14ac:dyDescent="0.25"/>
  <cols>
    <col min="10" max="10" width="15" customWidth="1"/>
    <col min="11" max="11" width="22.7109375" customWidth="1"/>
    <col min="12" max="12" width="23.140625" customWidth="1"/>
  </cols>
  <sheetData>
    <row r="1" spans="1:8" x14ac:dyDescent="0.25">
      <c r="A1" s="12" t="s">
        <v>5</v>
      </c>
    </row>
    <row r="3" spans="1:8" x14ac:dyDescent="0.25">
      <c r="A3" t="s">
        <v>6</v>
      </c>
    </row>
    <row r="4" spans="1:8" x14ac:dyDescent="0.25">
      <c r="A4" t="s">
        <v>7</v>
      </c>
    </row>
    <row r="5" spans="1:8" ht="15.75" thickBot="1" x14ac:dyDescent="0.3"/>
    <row r="6" spans="1:8" ht="15.75" thickBot="1" x14ac:dyDescent="0.3">
      <c r="A6" s="24" t="s">
        <v>8</v>
      </c>
      <c r="B6" s="25"/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3" t="s">
        <v>70</v>
      </c>
    </row>
    <row r="7" spans="1:8" x14ac:dyDescent="0.25">
      <c r="A7" s="14">
        <v>150</v>
      </c>
      <c r="B7" s="15">
        <v>200</v>
      </c>
      <c r="C7" s="16">
        <f>AVERAGE(A7:B7)</f>
        <v>175</v>
      </c>
      <c r="D7" s="16">
        <v>117</v>
      </c>
      <c r="E7" s="16">
        <v>117</v>
      </c>
      <c r="F7" s="17">
        <f>C7*D7</f>
        <v>20475</v>
      </c>
      <c r="G7" s="17">
        <f>C7*C7*D7</f>
        <v>3583125</v>
      </c>
      <c r="H7" s="35">
        <f>((C7-$E$31)^2)*D7</f>
        <v>1142859.2499999995</v>
      </c>
    </row>
    <row r="8" spans="1:8" x14ac:dyDescent="0.25">
      <c r="A8" s="14">
        <v>200</v>
      </c>
      <c r="B8" s="15">
        <v>250</v>
      </c>
      <c r="C8" s="16">
        <f t="shared" ref="C8:C11" si="0">AVERAGE(A8:B8)</f>
        <v>225</v>
      </c>
      <c r="D8" s="16">
        <v>205</v>
      </c>
      <c r="E8" s="16">
        <f>D8+E7</f>
        <v>322</v>
      </c>
      <c r="F8" s="17">
        <f t="shared" ref="F8:F11" si="1">C8*D8</f>
        <v>46125</v>
      </c>
      <c r="G8" s="17">
        <f t="shared" ref="G8:G11" si="2">C8*C8*D8</f>
        <v>10378125</v>
      </c>
      <c r="H8" s="35">
        <f>((C8-$E$31)^2)*D8</f>
        <v>488862.36111111072</v>
      </c>
    </row>
    <row r="9" spans="1:8" x14ac:dyDescent="0.25">
      <c r="A9" s="14">
        <f>A8+50</f>
        <v>250</v>
      </c>
      <c r="B9" s="15">
        <f>B8+50</f>
        <v>300</v>
      </c>
      <c r="C9" s="16">
        <f t="shared" si="0"/>
        <v>275</v>
      </c>
      <c r="D9" s="16">
        <v>250</v>
      </c>
      <c r="E9" s="16">
        <f t="shared" ref="E9:E11" si="3">D9+E8</f>
        <v>572</v>
      </c>
      <c r="F9" s="17">
        <f t="shared" si="1"/>
        <v>68750</v>
      </c>
      <c r="G9" s="17">
        <f t="shared" si="2"/>
        <v>18906250</v>
      </c>
      <c r="H9" s="35">
        <f>((C9-$E$31)^2)*D9</f>
        <v>340.27777777778886</v>
      </c>
    </row>
    <row r="10" spans="1:8" x14ac:dyDescent="0.25">
      <c r="A10" s="14">
        <f t="shared" ref="A10:B11" si="4">A9+50</f>
        <v>300</v>
      </c>
      <c r="B10" s="15">
        <f t="shared" si="4"/>
        <v>350</v>
      </c>
      <c r="C10" s="16">
        <f t="shared" si="0"/>
        <v>325</v>
      </c>
      <c r="D10" s="16">
        <v>238</v>
      </c>
      <c r="E10" s="16">
        <f t="shared" si="3"/>
        <v>810</v>
      </c>
      <c r="F10" s="17">
        <f t="shared" si="1"/>
        <v>77350</v>
      </c>
      <c r="G10" s="17">
        <f t="shared" si="2"/>
        <v>25138750</v>
      </c>
      <c r="H10" s="35">
        <f t="shared" ref="H8:H11" si="5">((C10-$E$31)^2)*D10</f>
        <v>623090.61111111159</v>
      </c>
    </row>
    <row r="11" spans="1:8" ht="15.75" thickBot="1" x14ac:dyDescent="0.3">
      <c r="A11" s="18">
        <f t="shared" si="4"/>
        <v>350</v>
      </c>
      <c r="B11" s="19">
        <f t="shared" si="4"/>
        <v>400</v>
      </c>
      <c r="C11" s="20">
        <f t="shared" si="0"/>
        <v>375</v>
      </c>
      <c r="D11" s="20">
        <v>90</v>
      </c>
      <c r="E11" s="20">
        <f t="shared" si="3"/>
        <v>900</v>
      </c>
      <c r="F11" s="21">
        <f t="shared" si="1"/>
        <v>33750</v>
      </c>
      <c r="G11" s="21">
        <f t="shared" si="2"/>
        <v>12656250</v>
      </c>
      <c r="H11" s="35">
        <f t="shared" si="5"/>
        <v>921122.50000000035</v>
      </c>
    </row>
    <row r="12" spans="1:8" ht="15.75" thickBot="1" x14ac:dyDescent="0.3">
      <c r="A12" s="26" t="s">
        <v>41</v>
      </c>
      <c r="B12">
        <v>900</v>
      </c>
      <c r="F12" s="22">
        <f>SUM(F7:F11)</f>
        <v>246450</v>
      </c>
      <c r="G12" s="22">
        <f>SUM(G7:G11)</f>
        <v>70662500</v>
      </c>
      <c r="H12" s="35">
        <f>SUM(H7:H11)</f>
        <v>3176275</v>
      </c>
    </row>
    <row r="13" spans="1:8" x14ac:dyDescent="0.25">
      <c r="A13" s="26" t="s">
        <v>50</v>
      </c>
      <c r="B13">
        <v>50</v>
      </c>
    </row>
    <row r="14" spans="1:8" x14ac:dyDescent="0.25">
      <c r="A14" t="s">
        <v>14</v>
      </c>
    </row>
    <row r="15" spans="1:8" x14ac:dyDescent="0.25">
      <c r="A15" t="s">
        <v>15</v>
      </c>
    </row>
    <row r="16" spans="1:8" x14ac:dyDescent="0.25">
      <c r="A16" t="s">
        <v>16</v>
      </c>
    </row>
    <row r="17" spans="1:14" x14ac:dyDescent="0.25">
      <c r="A17" t="s">
        <v>17</v>
      </c>
    </row>
    <row r="18" spans="1:14" x14ac:dyDescent="0.25">
      <c r="A18" t="s">
        <v>18</v>
      </c>
    </row>
    <row r="21" spans="1:14" x14ac:dyDescent="0.25">
      <c r="A21" s="27" t="s">
        <v>42</v>
      </c>
      <c r="B21" s="27" t="s">
        <v>43</v>
      </c>
      <c r="C21" t="s">
        <v>44</v>
      </c>
      <c r="G21" s="27" t="s">
        <v>51</v>
      </c>
    </row>
    <row r="22" spans="1:14" x14ac:dyDescent="0.25">
      <c r="C22" s="28" t="s">
        <v>45</v>
      </c>
      <c r="I22" t="s">
        <v>53</v>
      </c>
      <c r="K22" t="s">
        <v>54</v>
      </c>
      <c r="L22" s="15" t="s">
        <v>59</v>
      </c>
      <c r="M22" s="31">
        <f>(K23)/(900-K25)</f>
        <v>0.63849557522123901</v>
      </c>
    </row>
    <row r="23" spans="1:14" x14ac:dyDescent="0.25">
      <c r="J23" t="s">
        <v>52</v>
      </c>
      <c r="K23">
        <f>K27-K25</f>
        <v>243.03157894736853</v>
      </c>
      <c r="L23" s="29" t="s">
        <v>60</v>
      </c>
    </row>
    <row r="24" spans="1:14" x14ac:dyDescent="0.25">
      <c r="B24" s="27" t="s">
        <v>46</v>
      </c>
      <c r="C24">
        <f>A9+((D25/(D25+D26))*B13)</f>
        <v>289.4736842105263</v>
      </c>
      <c r="F24" t="s">
        <v>49</v>
      </c>
    </row>
    <row r="25" spans="1:14" x14ac:dyDescent="0.25">
      <c r="C25" t="s">
        <v>47</v>
      </c>
      <c r="D25">
        <f>D9-D8</f>
        <v>45</v>
      </c>
      <c r="I25" t="s">
        <v>55</v>
      </c>
      <c r="J25" t="s">
        <v>56</v>
      </c>
      <c r="K25">
        <f>E8+(((C24-A9)/B13)*D9)</f>
        <v>519.36842105263145</v>
      </c>
    </row>
    <row r="26" spans="1:14" x14ac:dyDescent="0.25">
      <c r="C26" t="s">
        <v>48</v>
      </c>
      <c r="D26">
        <f>D9-D10</f>
        <v>12</v>
      </c>
      <c r="J26" s="30" t="s">
        <v>57</v>
      </c>
    </row>
    <row r="27" spans="1:14" x14ac:dyDescent="0.25">
      <c r="I27" t="s">
        <v>58</v>
      </c>
      <c r="J27" t="s">
        <v>56</v>
      </c>
      <c r="K27">
        <f>E9+(((340-A10)/B13)*D10)</f>
        <v>762.4</v>
      </c>
    </row>
    <row r="28" spans="1:14" x14ac:dyDescent="0.25">
      <c r="B28" s="32" t="s">
        <v>86</v>
      </c>
      <c r="C28" s="32"/>
      <c r="D28" s="32"/>
      <c r="E28" s="32"/>
      <c r="F28" s="32"/>
      <c r="G28" s="32"/>
      <c r="J28" s="30" t="s">
        <v>57</v>
      </c>
    </row>
    <row r="30" spans="1:14" x14ac:dyDescent="0.25">
      <c r="A30" s="27" t="s">
        <v>61</v>
      </c>
    </row>
    <row r="31" spans="1:14" x14ac:dyDescent="0.25">
      <c r="B31" s="27" t="s">
        <v>62</v>
      </c>
      <c r="D31" s="33" t="s">
        <v>63</v>
      </c>
      <c r="E31" s="36">
        <f xml:space="preserve"> F12/900</f>
        <v>273.83333333333331</v>
      </c>
      <c r="I31" t="s">
        <v>72</v>
      </c>
      <c r="J31" s="27" t="s">
        <v>74</v>
      </c>
      <c r="K31" t="s">
        <v>75</v>
      </c>
      <c r="L31" t="s">
        <v>73</v>
      </c>
      <c r="M31" s="38">
        <f>A10+((M33-E9)/D10)*B13</f>
        <v>340.54621848739498</v>
      </c>
    </row>
    <row r="32" spans="1:14" x14ac:dyDescent="0.25">
      <c r="D32" s="15" t="s">
        <v>64</v>
      </c>
      <c r="K32" t="s">
        <v>76</v>
      </c>
      <c r="N32" s="30" t="s">
        <v>77</v>
      </c>
    </row>
    <row r="33" spans="2:14" x14ac:dyDescent="0.25">
      <c r="B33" s="27" t="s">
        <v>65</v>
      </c>
      <c r="D33" s="33" t="s">
        <v>71</v>
      </c>
      <c r="E33" s="35">
        <f>((G12)/900)-(E31^2)</f>
        <v>3529.1944444444525</v>
      </c>
      <c r="K33" s="37" t="s">
        <v>78</v>
      </c>
      <c r="L33" t="s">
        <v>79</v>
      </c>
      <c r="M33">
        <f xml:space="preserve"> (85*900)/100</f>
        <v>765</v>
      </c>
      <c r="N33" s="30" t="s">
        <v>80</v>
      </c>
    </row>
    <row r="34" spans="2:14" x14ac:dyDescent="0.25">
      <c r="D34" s="15" t="s">
        <v>64</v>
      </c>
    </row>
    <row r="35" spans="2:14" x14ac:dyDescent="0.25">
      <c r="B35" s="27" t="s">
        <v>66</v>
      </c>
      <c r="D35" s="15" t="s">
        <v>67</v>
      </c>
      <c r="E35">
        <f>SQRT(E33)</f>
        <v>59.407023527899902</v>
      </c>
      <c r="K35" s="38" t="s">
        <v>85</v>
      </c>
      <c r="L35" s="38"/>
      <c r="M35" s="38"/>
      <c r="N35" s="38"/>
    </row>
    <row r="37" spans="2:14" x14ac:dyDescent="0.25">
      <c r="B37" s="34" t="s">
        <v>82</v>
      </c>
      <c r="C37" s="33" t="s">
        <v>68</v>
      </c>
      <c r="D37" s="35"/>
      <c r="E37" s="51">
        <v>0.21679999999999999</v>
      </c>
      <c r="I37" t="s">
        <v>81</v>
      </c>
      <c r="J37" t="s">
        <v>83</v>
      </c>
      <c r="K37" s="39">
        <f>A9+((L39-E8)/D9)*B13</f>
        <v>275.60000000000002</v>
      </c>
    </row>
    <row r="38" spans="2:14" x14ac:dyDescent="0.25">
      <c r="C38" s="15" t="s">
        <v>69</v>
      </c>
      <c r="M38" s="30" t="s">
        <v>77</v>
      </c>
    </row>
    <row r="39" spans="2:14" x14ac:dyDescent="0.25">
      <c r="B39" s="38" t="s">
        <v>130</v>
      </c>
      <c r="C39" s="38"/>
      <c r="D39" s="38"/>
      <c r="E39" s="38"/>
      <c r="F39" s="38"/>
      <c r="G39" s="38"/>
      <c r="H39" s="38"/>
      <c r="I39" s="38"/>
      <c r="J39" s="37" t="s">
        <v>78</v>
      </c>
      <c r="K39" t="s">
        <v>79</v>
      </c>
      <c r="L39">
        <f xml:space="preserve"> (50*900)/100</f>
        <v>450</v>
      </c>
      <c r="M39" s="30" t="s">
        <v>49</v>
      </c>
    </row>
    <row r="40" spans="2:14" x14ac:dyDescent="0.25">
      <c r="B40" s="52"/>
      <c r="C40" s="52"/>
      <c r="D40" s="52"/>
      <c r="E40" s="52"/>
      <c r="F40" s="52"/>
    </row>
    <row r="41" spans="2:14" x14ac:dyDescent="0.25">
      <c r="B41" s="52"/>
      <c r="C41" s="52"/>
      <c r="D41" s="52"/>
      <c r="E41" s="52"/>
      <c r="F41" s="52"/>
    </row>
    <row r="42" spans="2:14" x14ac:dyDescent="0.25">
      <c r="B42" s="52"/>
      <c r="C42" s="52"/>
      <c r="D42" s="52"/>
      <c r="E42" s="52"/>
      <c r="F42" s="52"/>
      <c r="K42" s="39" t="s">
        <v>84</v>
      </c>
      <c r="L42" s="39"/>
      <c r="M42" s="39"/>
      <c r="N42" s="39"/>
    </row>
    <row r="43" spans="2:14" x14ac:dyDescent="0.25">
      <c r="B43" s="52"/>
      <c r="C43" s="52"/>
      <c r="D43" s="52"/>
      <c r="E43" s="52"/>
      <c r="F43" s="52"/>
    </row>
    <row r="44" spans="2:14" x14ac:dyDescent="0.25">
      <c r="B44" s="52"/>
      <c r="C44" s="52"/>
      <c r="D44" s="52"/>
      <c r="E44" s="52"/>
      <c r="F44" s="52"/>
    </row>
  </sheetData>
  <mergeCells count="1"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F8DA-BF51-4B4A-A332-788A48020F47}">
  <dimension ref="B1:M36"/>
  <sheetViews>
    <sheetView tabSelected="1" topLeftCell="A16" workbookViewId="0">
      <selection activeCell="M22" sqref="M22"/>
    </sheetView>
  </sheetViews>
  <sheetFormatPr baseColWidth="10" defaultRowHeight="15" x14ac:dyDescent="0.25"/>
  <cols>
    <col min="2" max="2" width="15.7109375" customWidth="1"/>
    <col min="3" max="3" width="16" customWidth="1"/>
    <col min="4" max="4" width="17.5703125" customWidth="1"/>
    <col min="12" max="12" width="17.140625" customWidth="1"/>
  </cols>
  <sheetData>
    <row r="1" spans="2:10" x14ac:dyDescent="0.25">
      <c r="B1" s="12" t="s">
        <v>19</v>
      </c>
    </row>
    <row r="3" spans="2:10" x14ac:dyDescent="0.25">
      <c r="B3" t="s">
        <v>20</v>
      </c>
    </row>
    <row r="4" spans="2:10" x14ac:dyDescent="0.25">
      <c r="B4" t="s">
        <v>21</v>
      </c>
    </row>
    <row r="5" spans="2:10" x14ac:dyDescent="0.25">
      <c r="B5" t="s">
        <v>22</v>
      </c>
    </row>
    <row r="6" spans="2:10" x14ac:dyDescent="0.25">
      <c r="B6" t="s">
        <v>23</v>
      </c>
    </row>
    <row r="7" spans="2:10" x14ac:dyDescent="0.25">
      <c r="B7" t="s">
        <v>24</v>
      </c>
    </row>
    <row r="8" spans="2:10" x14ac:dyDescent="0.25">
      <c r="B8" t="s">
        <v>25</v>
      </c>
    </row>
    <row r="11" spans="2:10" x14ac:dyDescent="0.25">
      <c r="B11" s="40" t="s">
        <v>87</v>
      </c>
      <c r="C11" s="40" t="s">
        <v>88</v>
      </c>
      <c r="D11" s="40" t="s">
        <v>89</v>
      </c>
      <c r="E11" s="43" t="s">
        <v>94</v>
      </c>
    </row>
    <row r="12" spans="2:10" x14ac:dyDescent="0.25">
      <c r="B12" s="40" t="s">
        <v>91</v>
      </c>
      <c r="C12" s="40" t="s">
        <v>90</v>
      </c>
      <c r="D12" s="40" t="s">
        <v>92</v>
      </c>
    </row>
    <row r="13" spans="2:10" x14ac:dyDescent="0.25">
      <c r="B13" s="41" t="s">
        <v>93</v>
      </c>
      <c r="C13" s="41" t="s">
        <v>96</v>
      </c>
      <c r="D13" s="41" t="s">
        <v>97</v>
      </c>
    </row>
    <row r="14" spans="2:10" x14ac:dyDescent="0.25">
      <c r="B14" s="42"/>
      <c r="C14" s="42"/>
      <c r="D14" s="42"/>
    </row>
    <row r="15" spans="2:10" x14ac:dyDescent="0.25">
      <c r="B15" s="42"/>
      <c r="C15" s="42"/>
      <c r="D15" s="42"/>
      <c r="J15" s="27" t="s">
        <v>72</v>
      </c>
    </row>
    <row r="16" spans="2:10" x14ac:dyDescent="0.25">
      <c r="B16" s="44" t="s">
        <v>42</v>
      </c>
      <c r="C16" s="42"/>
      <c r="D16" s="46" t="s">
        <v>98</v>
      </c>
    </row>
    <row r="17" spans="2:13" x14ac:dyDescent="0.25">
      <c r="C17" t="s">
        <v>95</v>
      </c>
      <c r="D17" s="47" t="s">
        <v>100</v>
      </c>
      <c r="E17" s="47"/>
      <c r="F17" s="50">
        <f>(0.09*0.2)/H20</f>
        <v>0.39130434782608692</v>
      </c>
      <c r="K17" t="s">
        <v>124</v>
      </c>
      <c r="L17" t="s">
        <v>125</v>
      </c>
    </row>
    <row r="18" spans="2:13" x14ac:dyDescent="0.25">
      <c r="D18" s="48" t="s">
        <v>101</v>
      </c>
      <c r="E18" s="48"/>
    </row>
    <row r="19" spans="2:13" x14ac:dyDescent="0.25">
      <c r="D19" s="49" t="s">
        <v>99</v>
      </c>
      <c r="K19" t="s">
        <v>126</v>
      </c>
      <c r="L19" t="s">
        <v>127</v>
      </c>
      <c r="M19" t="s">
        <v>52</v>
      </c>
    </row>
    <row r="20" spans="2:13" x14ac:dyDescent="0.25">
      <c r="C20" t="s">
        <v>102</v>
      </c>
      <c r="D20" t="s">
        <v>103</v>
      </c>
      <c r="H20" s="49">
        <f>(0.02*0.5)+(0.09*0.2)+(0.06*0.3)</f>
        <v>4.5999999999999999E-2</v>
      </c>
    </row>
    <row r="22" spans="2:13" x14ac:dyDescent="0.25">
      <c r="C22" s="50" t="s">
        <v>123</v>
      </c>
      <c r="D22" s="50"/>
      <c r="E22" s="50"/>
      <c r="F22" s="50"/>
      <c r="G22" s="50"/>
      <c r="H22" s="50"/>
      <c r="I22" s="50"/>
      <c r="K22" t="s">
        <v>128</v>
      </c>
      <c r="L22" t="s">
        <v>129</v>
      </c>
    </row>
    <row r="24" spans="2:13" x14ac:dyDescent="0.25">
      <c r="B24" s="27" t="s">
        <v>61</v>
      </c>
      <c r="C24" s="42"/>
      <c r="D24" s="46" t="s">
        <v>98</v>
      </c>
    </row>
    <row r="25" spans="2:13" x14ac:dyDescent="0.25">
      <c r="C25" t="s">
        <v>104</v>
      </c>
      <c r="D25" s="47" t="s">
        <v>108</v>
      </c>
      <c r="E25" s="47"/>
      <c r="F25" s="51">
        <f>(E28*E34)/E33</f>
        <v>0.51362683438155132</v>
      </c>
    </row>
    <row r="26" spans="2:13" x14ac:dyDescent="0.25">
      <c r="D26" s="48" t="s">
        <v>105</v>
      </c>
      <c r="E26" s="48"/>
    </row>
    <row r="27" spans="2:13" x14ac:dyDescent="0.25">
      <c r="C27" s="51" t="s">
        <v>106</v>
      </c>
      <c r="D27" s="51"/>
    </row>
    <row r="28" spans="2:13" x14ac:dyDescent="0.25">
      <c r="C28" s="51" t="s">
        <v>107</v>
      </c>
      <c r="D28" s="51" t="s">
        <v>109</v>
      </c>
      <c r="E28" s="51">
        <f>1-E32</f>
        <v>0.98</v>
      </c>
    </row>
    <row r="29" spans="2:13" x14ac:dyDescent="0.25">
      <c r="C29" t="s">
        <v>111</v>
      </c>
      <c r="D29" t="s">
        <v>112</v>
      </c>
    </row>
    <row r="30" spans="2:13" x14ac:dyDescent="0.25">
      <c r="C30" t="s">
        <v>113</v>
      </c>
      <c r="D30" t="s">
        <v>114</v>
      </c>
    </row>
    <row r="31" spans="2:13" x14ac:dyDescent="0.25">
      <c r="C31" t="s">
        <v>115</v>
      </c>
      <c r="D31" t="s">
        <v>116</v>
      </c>
      <c r="E31">
        <f>1-0.02</f>
        <v>0.98</v>
      </c>
    </row>
    <row r="32" spans="2:13" x14ac:dyDescent="0.25">
      <c r="C32" t="s">
        <v>110</v>
      </c>
      <c r="D32" t="s">
        <v>117</v>
      </c>
      <c r="E32">
        <f>1-E31</f>
        <v>2.0000000000000018E-2</v>
      </c>
    </row>
    <row r="33" spans="3:9" x14ac:dyDescent="0.25">
      <c r="C33" t="s">
        <v>118</v>
      </c>
      <c r="D33" t="s">
        <v>119</v>
      </c>
      <c r="E33">
        <f>1-H20</f>
        <v>0.95399999999999996</v>
      </c>
    </row>
    <row r="34" spans="3:9" x14ac:dyDescent="0.25">
      <c r="C34" t="s">
        <v>120</v>
      </c>
      <c r="D34" t="s">
        <v>121</v>
      </c>
      <c r="E34">
        <f>1-0.5</f>
        <v>0.5</v>
      </c>
    </row>
    <row r="36" spans="3:9" x14ac:dyDescent="0.25">
      <c r="C36" s="51" t="s">
        <v>122</v>
      </c>
      <c r="D36" s="51"/>
      <c r="E36" s="51"/>
      <c r="F36" s="51"/>
      <c r="G36" s="51"/>
      <c r="H36" s="51"/>
      <c r="I36" s="51"/>
    </row>
  </sheetData>
  <mergeCells count="4">
    <mergeCell ref="D17:E17"/>
    <mergeCell ref="D18:E18"/>
    <mergeCell ref="D25:E25"/>
    <mergeCell ref="D26:E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5700-7B4F-4E2F-A4CF-0DB6A19B469C}">
  <dimension ref="A1:H17"/>
  <sheetViews>
    <sheetView workbookViewId="0">
      <selection activeCell="F11" sqref="F11"/>
    </sheetView>
  </sheetViews>
  <sheetFormatPr baseColWidth="10" defaultRowHeight="15" x14ac:dyDescent="0.25"/>
  <sheetData>
    <row r="1" spans="1:8" x14ac:dyDescent="0.25">
      <c r="A1" s="12" t="s">
        <v>26</v>
      </c>
    </row>
    <row r="3" spans="1:8" x14ac:dyDescent="0.25">
      <c r="A3" t="s">
        <v>27</v>
      </c>
    </row>
    <row r="4" spans="1:8" x14ac:dyDescent="0.25">
      <c r="A4" t="s">
        <v>28</v>
      </c>
    </row>
    <row r="5" spans="1:8" x14ac:dyDescent="0.25">
      <c r="A5" t="s">
        <v>29</v>
      </c>
    </row>
    <row r="6" spans="1:8" x14ac:dyDescent="0.25">
      <c r="A6" t="s">
        <v>166</v>
      </c>
    </row>
    <row r="7" spans="1:8" x14ac:dyDescent="0.25">
      <c r="A7" s="27" t="s">
        <v>42</v>
      </c>
    </row>
    <row r="8" spans="1:8" x14ac:dyDescent="0.25">
      <c r="B8" t="s">
        <v>161</v>
      </c>
      <c r="C8" t="s">
        <v>162</v>
      </c>
    </row>
    <row r="9" spans="1:8" x14ac:dyDescent="0.25">
      <c r="E9" t="s">
        <v>163</v>
      </c>
      <c r="F9" t="s">
        <v>164</v>
      </c>
      <c r="H9">
        <f>0.2865</f>
        <v>0.28649999999999998</v>
      </c>
    </row>
    <row r="11" spans="1:8" x14ac:dyDescent="0.25">
      <c r="A11" t="s">
        <v>61</v>
      </c>
      <c r="E11" t="s">
        <v>163</v>
      </c>
      <c r="F11" s="38">
        <f>_xlfn.POISSON.DIST(0,1.25,1)</f>
        <v>0.28650479686019009</v>
      </c>
    </row>
    <row r="13" spans="1:8" x14ac:dyDescent="0.25">
      <c r="B13" t="s">
        <v>165</v>
      </c>
      <c r="C13" t="s">
        <v>167</v>
      </c>
    </row>
    <row r="15" spans="1:8" x14ac:dyDescent="0.25">
      <c r="B15" t="s">
        <v>168</v>
      </c>
      <c r="C15" t="s">
        <v>169</v>
      </c>
      <c r="D15" s="38">
        <f>1-C17</f>
        <v>0.98488394619898201</v>
      </c>
    </row>
    <row r="17" spans="2:3" x14ac:dyDescent="0.25">
      <c r="B17" t="s">
        <v>170</v>
      </c>
      <c r="C17">
        <f>_xlfn.POISSON.DIST(12,22,1)</f>
        <v>1.5116053801018037E-2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3553C-6BA4-4005-9DFF-38D5B9ACA151}">
  <dimension ref="A1:N25"/>
  <sheetViews>
    <sheetView topLeftCell="A6" workbookViewId="0">
      <selection activeCell="C14" sqref="C14"/>
    </sheetView>
  </sheetViews>
  <sheetFormatPr baseColWidth="10" defaultRowHeight="15" x14ac:dyDescent="0.25"/>
  <sheetData>
    <row r="1" spans="1:14" x14ac:dyDescent="0.25">
      <c r="A1" s="12" t="s">
        <v>30</v>
      </c>
    </row>
    <row r="3" spans="1:14" x14ac:dyDescent="0.25">
      <c r="A3" t="s">
        <v>31</v>
      </c>
    </row>
    <row r="4" spans="1:14" x14ac:dyDescent="0.25">
      <c r="A4" t="s">
        <v>32</v>
      </c>
    </row>
    <row r="5" spans="1:14" x14ac:dyDescent="0.25">
      <c r="A5" t="s">
        <v>33</v>
      </c>
    </row>
    <row r="6" spans="1:14" x14ac:dyDescent="0.25">
      <c r="A6" t="s">
        <v>34</v>
      </c>
    </row>
    <row r="7" spans="1:14" x14ac:dyDescent="0.25">
      <c r="A7" t="s">
        <v>35</v>
      </c>
    </row>
    <row r="9" spans="1:14" x14ac:dyDescent="0.25">
      <c r="A9" t="s">
        <v>134</v>
      </c>
      <c r="B9">
        <f>22+11+5</f>
        <v>38</v>
      </c>
      <c r="C9" t="s">
        <v>131</v>
      </c>
    </row>
    <row r="10" spans="1:14" x14ac:dyDescent="0.25">
      <c r="A10" t="s">
        <v>132</v>
      </c>
      <c r="B10">
        <f>(0.8^2)+(1.7^2)+(5^2)</f>
        <v>28.53</v>
      </c>
    </row>
    <row r="11" spans="1:14" x14ac:dyDescent="0.25">
      <c r="A11" t="s">
        <v>133</v>
      </c>
      <c r="B11">
        <f>SQRT(B10)</f>
        <v>5.3413481444294568</v>
      </c>
    </row>
    <row r="13" spans="1:14" x14ac:dyDescent="0.25">
      <c r="A13" t="s">
        <v>42</v>
      </c>
      <c r="B13" t="s">
        <v>135</v>
      </c>
      <c r="C13" s="38">
        <f>_xlfn.NORM.DIST(45,B9,B11,1)</f>
        <v>0.90499179432133237</v>
      </c>
    </row>
    <row r="15" spans="1:14" x14ac:dyDescent="0.25">
      <c r="B15" t="s">
        <v>136</v>
      </c>
    </row>
    <row r="16" spans="1:14" x14ac:dyDescent="0.25">
      <c r="F16" s="45"/>
      <c r="G16" s="45"/>
      <c r="H16" s="45"/>
      <c r="I16" s="45"/>
      <c r="J16" s="45"/>
      <c r="K16" s="45"/>
      <c r="L16" s="45"/>
      <c r="M16" s="45"/>
      <c r="N16" s="45"/>
    </row>
    <row r="17" spans="1:14" x14ac:dyDescent="0.25">
      <c r="F17" s="45"/>
      <c r="G17" s="45"/>
      <c r="H17" s="45"/>
      <c r="I17" s="45"/>
      <c r="J17" s="45"/>
      <c r="K17" s="45"/>
      <c r="L17" s="45"/>
      <c r="M17" s="45"/>
      <c r="N17" s="45"/>
    </row>
    <row r="18" spans="1:14" x14ac:dyDescent="0.25">
      <c r="A18" t="s">
        <v>61</v>
      </c>
      <c r="B18" t="s">
        <v>139</v>
      </c>
      <c r="F18" s="45"/>
      <c r="G18" s="45"/>
      <c r="H18" s="53"/>
      <c r="I18" s="45"/>
      <c r="J18" s="45"/>
      <c r="K18" s="45"/>
      <c r="L18" s="45"/>
      <c r="M18" s="45"/>
      <c r="N18" s="45"/>
    </row>
    <row r="19" spans="1:14" x14ac:dyDescent="0.25">
      <c r="B19" t="s">
        <v>137</v>
      </c>
      <c r="F19" s="45"/>
      <c r="G19" s="45"/>
      <c r="H19" s="45"/>
      <c r="I19" s="45"/>
      <c r="J19" s="45"/>
      <c r="K19" s="45"/>
      <c r="L19" s="45"/>
      <c r="M19" s="53"/>
      <c r="N19" s="45"/>
    </row>
    <row r="20" spans="1:14" x14ac:dyDescent="0.25">
      <c r="B20" t="s">
        <v>140</v>
      </c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5"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5">
      <c r="B22">
        <v>-1.28</v>
      </c>
      <c r="C22" s="15" t="s">
        <v>141</v>
      </c>
      <c r="D22">
        <f>(B22*B11)+B9</f>
        <v>31.163074375130293</v>
      </c>
      <c r="F22" s="45"/>
      <c r="G22" s="45"/>
      <c r="H22" s="45"/>
      <c r="I22" s="53"/>
      <c r="J22" s="45"/>
      <c r="K22" s="45"/>
      <c r="L22" s="45"/>
      <c r="M22" s="53"/>
      <c r="N22" s="45"/>
    </row>
    <row r="23" spans="1:14" x14ac:dyDescent="0.25">
      <c r="C23" s="15">
        <v>5.3410000000000002</v>
      </c>
      <c r="F23" s="45"/>
      <c r="G23" s="45"/>
      <c r="H23" s="45"/>
      <c r="I23" s="53"/>
      <c r="J23" s="45"/>
      <c r="K23" s="45"/>
      <c r="L23" s="45"/>
      <c r="M23" s="53"/>
      <c r="N23" s="45"/>
    </row>
    <row r="24" spans="1:14" x14ac:dyDescent="0.25">
      <c r="C24" t="s">
        <v>138</v>
      </c>
      <c r="D24" s="32">
        <f>D22</f>
        <v>31.163074375130293</v>
      </c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5">
      <c r="F25" s="45"/>
      <c r="G25" s="45"/>
      <c r="H25" s="45"/>
      <c r="I25" s="45"/>
      <c r="J25" s="45"/>
      <c r="K25" s="45"/>
      <c r="L25" s="45"/>
      <c r="M25" s="45"/>
      <c r="N25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3347-CDFA-4A02-AC08-9F81C014D14E}">
  <dimension ref="B1:Q37"/>
  <sheetViews>
    <sheetView topLeftCell="B19" workbookViewId="0">
      <selection activeCell="F41" sqref="F41"/>
    </sheetView>
  </sheetViews>
  <sheetFormatPr baseColWidth="10" defaultRowHeight="15" x14ac:dyDescent="0.25"/>
  <sheetData>
    <row r="1" spans="2:17" x14ac:dyDescent="0.25">
      <c r="B1" s="12" t="s">
        <v>36</v>
      </c>
    </row>
    <row r="3" spans="2:17" x14ac:dyDescent="0.25">
      <c r="B3" t="s">
        <v>37</v>
      </c>
    </row>
    <row r="4" spans="2:17" x14ac:dyDescent="0.25">
      <c r="B4" t="s">
        <v>38</v>
      </c>
    </row>
    <row r="5" spans="2:17" x14ac:dyDescent="0.25">
      <c r="B5" t="s">
        <v>39</v>
      </c>
    </row>
    <row r="6" spans="2:17" x14ac:dyDescent="0.25">
      <c r="B6" t="s">
        <v>40</v>
      </c>
    </row>
    <row r="9" spans="2:17" x14ac:dyDescent="0.25">
      <c r="B9" s="54" t="s">
        <v>142</v>
      </c>
      <c r="C9" s="55"/>
      <c r="D9" s="54" t="s">
        <v>143</v>
      </c>
      <c r="E9" s="54"/>
    </row>
    <row r="10" spans="2:17" x14ac:dyDescent="0.25">
      <c r="C10" s="56"/>
    </row>
    <row r="11" spans="2:17" x14ac:dyDescent="0.25">
      <c r="B11" s="57" t="s">
        <v>144</v>
      </c>
      <c r="C11" s="58">
        <v>6100</v>
      </c>
      <c r="D11" s="59" t="s">
        <v>50</v>
      </c>
      <c r="E11" s="30">
        <v>4800</v>
      </c>
      <c r="Q11" t="s">
        <v>159</v>
      </c>
    </row>
    <row r="12" spans="2:17" x14ac:dyDescent="0.25">
      <c r="C12" s="56"/>
      <c r="D12" t="s">
        <v>148</v>
      </c>
      <c r="E12">
        <v>6000</v>
      </c>
    </row>
    <row r="13" spans="2:17" x14ac:dyDescent="0.25">
      <c r="B13" s="57" t="s">
        <v>145</v>
      </c>
      <c r="C13" s="58">
        <v>220</v>
      </c>
    </row>
    <row r="14" spans="2:17" x14ac:dyDescent="0.25">
      <c r="C14" s="56"/>
    </row>
    <row r="15" spans="2:17" x14ac:dyDescent="0.25">
      <c r="B15" s="30" t="s">
        <v>146</v>
      </c>
      <c r="C15" s="60">
        <v>0.55000000000000004</v>
      </c>
      <c r="D15" s="30" t="s">
        <v>147</v>
      </c>
      <c r="E15" s="30">
        <v>0.45</v>
      </c>
    </row>
    <row r="16" spans="2:17" x14ac:dyDescent="0.25">
      <c r="C16" s="56"/>
    </row>
    <row r="17" spans="2:17" x14ac:dyDescent="0.25">
      <c r="C17" s="56"/>
    </row>
    <row r="20" spans="2:17" x14ac:dyDescent="0.25">
      <c r="B20" t="s">
        <v>42</v>
      </c>
      <c r="C20" t="s">
        <v>149</v>
      </c>
      <c r="E20" s="47" t="s">
        <v>150</v>
      </c>
      <c r="F20" s="47"/>
      <c r="G20" s="38">
        <f>(E23*C15)/G28</f>
        <v>0.19497757927438045</v>
      </c>
    </row>
    <row r="21" spans="2:17" x14ac:dyDescent="0.25">
      <c r="E21" s="48" t="s">
        <v>151</v>
      </c>
      <c r="F21" s="48"/>
    </row>
    <row r="23" spans="2:17" x14ac:dyDescent="0.25">
      <c r="C23" t="s">
        <v>152</v>
      </c>
      <c r="E23">
        <f xml:space="preserve"> _xlfn.NORM.DIST(5900,C11,C13,1)</f>
        <v>0.18165107044344894</v>
      </c>
      <c r="H23" t="s">
        <v>157</v>
      </c>
    </row>
    <row r="25" spans="2:17" x14ac:dyDescent="0.25">
      <c r="C25" t="s">
        <v>153</v>
      </c>
      <c r="E25" t="s">
        <v>154</v>
      </c>
      <c r="F25">
        <f>(5900-E11)/(E12-E11)</f>
        <v>0.91666666666666663</v>
      </c>
    </row>
    <row r="26" spans="2:17" x14ac:dyDescent="0.25">
      <c r="E26" s="61">
        <v>60004800</v>
      </c>
    </row>
    <row r="28" spans="2:17" x14ac:dyDescent="0.25">
      <c r="C28" t="s">
        <v>155</v>
      </c>
      <c r="D28" t="s">
        <v>156</v>
      </c>
      <c r="G28">
        <f>(E23*C15)+(E15*F25)</f>
        <v>0.51240808874389687</v>
      </c>
    </row>
    <row r="31" spans="2:17" x14ac:dyDescent="0.25">
      <c r="B31" t="s">
        <v>158</v>
      </c>
      <c r="C31" t="s">
        <v>173</v>
      </c>
      <c r="G31" t="s">
        <v>171</v>
      </c>
      <c r="H31" t="s">
        <v>172</v>
      </c>
      <c r="I31">
        <f>1-F25</f>
        <v>8.333333333333337E-2</v>
      </c>
      <c r="Q31" t="s">
        <v>177</v>
      </c>
    </row>
    <row r="32" spans="2:17" x14ac:dyDescent="0.25">
      <c r="C32" t="s">
        <v>160</v>
      </c>
    </row>
    <row r="34" spans="3:7" x14ac:dyDescent="0.25">
      <c r="C34" t="s">
        <v>176</v>
      </c>
    </row>
    <row r="35" spans="3:7" x14ac:dyDescent="0.25">
      <c r="C35" t="s">
        <v>174</v>
      </c>
    </row>
    <row r="37" spans="3:7" x14ac:dyDescent="0.25">
      <c r="C37" t="s">
        <v>175</v>
      </c>
      <c r="F37">
        <f>_xlfn.NORM.DIST(9.5,1.743,1.2639,1)</f>
        <v>0.99999999958046004</v>
      </c>
      <c r="G37" s="38">
        <f>1*I31</f>
        <v>8.333333333333337E-2</v>
      </c>
    </row>
  </sheetData>
  <mergeCells count="4">
    <mergeCell ref="B9:C9"/>
    <mergeCell ref="D9:E9"/>
    <mergeCell ref="E20:F20"/>
    <mergeCell ref="E21:F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ro xmlns="f6722d91-83f5-4f95-8c32-525054022371">1</Nro>
    <Comentarios xmlns="f6722d91-83f5-4f95-8c32-525054022371" xsi:nil="true"/>
    <Fecha_x0020_Publicacion xmlns="f6722d91-83f5-4f95-8c32-525054022371">2020-10-13T03:00:00+00:00</Fecha_x0020_Publicacion>
    <Vence xmlns="f6722d91-83f5-4f95-8c32-525054022371" xsi:nil="true"/>
    <Unidad xmlns="f6722d91-83f5-4f95-8c32-5250540223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DA908D301DF7498608AEC8FF6A592F" ma:contentTypeVersion="7" ma:contentTypeDescription="Crear nuevo documento." ma:contentTypeScope="" ma:versionID="2d61ee7a7a557fec600d04a9833c5ba5">
  <xsd:schema xmlns:xsd="http://www.w3.org/2001/XMLSchema" xmlns:xs="http://www.w3.org/2001/XMLSchema" xmlns:p="http://schemas.microsoft.com/office/2006/metadata/properties" xmlns:ns2="f6722d91-83f5-4f95-8c32-525054022371" targetNamespace="http://schemas.microsoft.com/office/2006/metadata/properties" ma:root="true" ma:fieldsID="fe8bf4f63e804ba3c68507ff59f1af1b" ns2:_="">
    <xsd:import namespace="f6722d91-83f5-4f95-8c32-525054022371"/>
    <xsd:element name="properties">
      <xsd:complexType>
        <xsd:sequence>
          <xsd:element name="documentManagement">
            <xsd:complexType>
              <xsd:all>
                <xsd:element ref="ns2:Nro"/>
                <xsd:element ref="ns2:Unidad" minOccurs="0"/>
                <xsd:element ref="ns2:Fecha_x0020_Publicacion" minOccurs="0"/>
                <xsd:element ref="ns2:MediaServiceMetadata" minOccurs="0"/>
                <xsd:element ref="ns2:MediaServiceFastMetadata" minOccurs="0"/>
                <xsd:element ref="ns2:Vence" minOccurs="0"/>
                <xsd:element ref="ns2:Comentario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22d91-83f5-4f95-8c32-525054022371" elementFormDefault="qualified">
    <xsd:import namespace="http://schemas.microsoft.com/office/2006/documentManagement/types"/>
    <xsd:import namespace="http://schemas.microsoft.com/office/infopath/2007/PartnerControls"/>
    <xsd:element name="Nro" ma:index="8" ma:displayName="Nro" ma:default="0" ma:description="Campo utilizado para ordenar" ma:internalName="Nro" ma:percentage="FALSE">
      <xsd:simpleType>
        <xsd:restriction base="dms:Number"/>
      </xsd:simpleType>
    </xsd:element>
    <xsd:element name="Unidad" ma:index="9" nillable="true" ma:displayName="Unidad" ma:internalName="Unidad" ma:percentage="FALSE">
      <xsd:simpleType>
        <xsd:restriction base="dms:Number"/>
      </xsd:simpleType>
    </xsd:element>
    <xsd:element name="Fecha_x0020_Publicacion" ma:index="10" nillable="true" ma:displayName="Fecha Publicacion" ma:default="[today]" ma:format="DateOnly" ma:internalName="Fecha_x0020_Publicacion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Vence" ma:index="13" nillable="true" ma:displayName="Vence" ma:format="DateOnly" ma:internalName="Vence">
      <xsd:simpleType>
        <xsd:restriction base="dms:DateTime"/>
      </xsd:simpleType>
    </xsd:element>
    <xsd:element name="Comentarios" ma:index="14" nillable="true" ma:displayName="Comentarios" ma:internalName="Comentario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CCC574-DE16-46A3-9BB8-015411381A76}">
  <ds:schemaRefs>
    <ds:schemaRef ds:uri="http://schemas.microsoft.com/office/2006/metadata/properties"/>
    <ds:schemaRef ds:uri="http://schemas.microsoft.com/office/infopath/2007/PartnerControls"/>
    <ds:schemaRef ds:uri="f6722d91-83f5-4f95-8c32-525054022371"/>
  </ds:schemaRefs>
</ds:datastoreItem>
</file>

<file path=customXml/itemProps2.xml><?xml version="1.0" encoding="utf-8"?>
<ds:datastoreItem xmlns:ds="http://schemas.openxmlformats.org/officeDocument/2006/customXml" ds:itemID="{A3892165-C4E9-44E7-AADC-9B8657521F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6F1B0F-38B7-4AEA-AC0F-78B65DD0A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722d91-83f5-4f95-8c32-525054022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Examen</vt:lpstr>
      <vt:lpstr>ejercicio 1</vt:lpstr>
      <vt:lpstr>ejercicio 2</vt:lpstr>
      <vt:lpstr>ejercio 3</vt:lpstr>
      <vt:lpstr>ejercico 4</vt:lpstr>
      <vt:lpstr>ejercico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Agustina Villar</dc:creator>
  <cp:lastModifiedBy>belen de urquiza</cp:lastModifiedBy>
  <dcterms:created xsi:type="dcterms:W3CDTF">2020-10-13T21:55:22Z</dcterms:created>
  <dcterms:modified xsi:type="dcterms:W3CDTF">2020-10-14T00:41:42Z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0x0101008DDA908D301DF7498608AEC8FF6A592F</vt:lpwstr>
  </property>
</Properties>
</file>