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E23D57E-ADBB-4D9E-9CEE-C850DD90174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rc6ZanrTNaPFrH7IAQmzzjEiNXg=="/>
    </ext>
  </extLst>
</workbook>
</file>

<file path=xl/calcChain.xml><?xml version="1.0" encoding="utf-8"?>
<calcChain xmlns="http://schemas.openxmlformats.org/spreadsheetml/2006/main">
  <c r="F138" i="1" l="1"/>
  <c r="F137" i="1"/>
  <c r="F136" i="1"/>
  <c r="F129" i="1"/>
  <c r="F126" i="1"/>
  <c r="F123" i="1"/>
  <c r="F120" i="1"/>
  <c r="C113" i="1"/>
  <c r="E111" i="1"/>
  <c r="E109" i="1"/>
  <c r="E107" i="1"/>
  <c r="E105" i="1"/>
  <c r="F91" i="1"/>
  <c r="F86" i="1"/>
  <c r="F93" i="1" s="1"/>
  <c r="P85" i="1"/>
  <c r="L85" i="1"/>
  <c r="O85" i="1" s="1"/>
  <c r="O84" i="1"/>
  <c r="L84" i="1"/>
  <c r="N84" i="1" s="1"/>
  <c r="N86" i="1" s="1"/>
  <c r="F79" i="1"/>
  <c r="N74" i="1"/>
  <c r="F73" i="1"/>
  <c r="F81" i="1" s="1"/>
  <c r="A73" i="1"/>
  <c r="N71" i="1"/>
  <c r="N76" i="1" s="1"/>
  <c r="P68" i="1"/>
  <c r="N66" i="1"/>
  <c r="N64" i="1"/>
  <c r="N60" i="1"/>
  <c r="R59" i="1"/>
  <c r="N49" i="1"/>
  <c r="N48" i="1"/>
  <c r="N45" i="1"/>
  <c r="N37" i="1"/>
  <c r="R33" i="1"/>
  <c r="R32" i="1"/>
  <c r="R34" i="1" s="1"/>
  <c r="N32" i="1"/>
  <c r="O40" i="1" s="1"/>
  <c r="V30" i="1"/>
  <c r="P30" i="1"/>
  <c r="Y28" i="1"/>
  <c r="M25" i="1"/>
  <c r="M24" i="1"/>
  <c r="M23" i="1"/>
  <c r="O22" i="1"/>
  <c r="T17" i="1"/>
  <c r="O17" i="1"/>
  <c r="T16" i="1"/>
  <c r="O16" i="1"/>
  <c r="M15" i="1"/>
  <c r="O15" i="1" s="1"/>
  <c r="T14" i="1"/>
  <c r="T18" i="1" s="1"/>
  <c r="O14" i="1"/>
  <c r="O18" i="1" l="1"/>
  <c r="O86" i="1"/>
  <c r="F140" i="1"/>
  <c r="G136" i="1" s="1"/>
  <c r="P84" i="1"/>
  <c r="P86" i="1" s="1"/>
  <c r="M84" i="1"/>
  <c r="M86" i="1" s="1"/>
  <c r="K94" i="1" s="1"/>
  <c r="H136" i="1" l="1"/>
  <c r="L90" i="1"/>
  <c r="K92" i="1"/>
  <c r="G137" i="1"/>
  <c r="H137" i="1" s="1"/>
  <c r="I137" i="1" s="1"/>
  <c r="G138" i="1"/>
  <c r="H138" i="1" s="1"/>
  <c r="I138" i="1" s="1"/>
  <c r="K93" i="1"/>
  <c r="H140" i="1" l="1"/>
  <c r="I136" i="1"/>
  <c r="G140" i="1"/>
</calcChain>
</file>

<file path=xl/sharedStrings.xml><?xml version="1.0" encoding="utf-8"?>
<sst xmlns="http://schemas.openxmlformats.org/spreadsheetml/2006/main" count="257" uniqueCount="199">
  <si>
    <t xml:space="preserve"> </t>
  </si>
  <si>
    <t xml:space="preserve">         UNIVERSIDAD DE BUENOS AIRES</t>
  </si>
  <si>
    <t>SISTEMAS DE COSTOS</t>
  </si>
  <si>
    <t>.............................................................................</t>
  </si>
  <si>
    <t>2do PARCIAL PRACTICO 24-6-2021</t>
  </si>
  <si>
    <t>REG.. N*......................................................</t>
  </si>
  <si>
    <t>EJERCICIO N*1</t>
  </si>
  <si>
    <t xml:space="preserve"> "EMPAQUE" es una empresa que elabora y comercializa cajas de cartón.Es su único centro productivo </t>
  </si>
  <si>
    <t>fabrica las cajas en dos tamaños "Grandes" y "Chicas"</t>
  </si>
  <si>
    <t>Costo Unitario estándar</t>
  </si>
  <si>
    <t>Especificaciones std por unidad.</t>
  </si>
  <si>
    <t>Insumos</t>
  </si>
  <si>
    <t>Caja Grande</t>
  </si>
  <si>
    <t>Caja Chica</t>
  </si>
  <si>
    <t xml:space="preserve">                                   </t>
  </si>
  <si>
    <t>GRANDES</t>
  </si>
  <si>
    <t>CHICAS</t>
  </si>
  <si>
    <t>Costo</t>
  </si>
  <si>
    <t>Rendimiento</t>
  </si>
  <si>
    <t>Q Neta</t>
  </si>
  <si>
    <t>Rto</t>
  </si>
  <si>
    <t>Q Nec.</t>
  </si>
  <si>
    <t>Precio</t>
  </si>
  <si>
    <t>Cartón</t>
  </si>
  <si>
    <t xml:space="preserve">Cartón (cant.neces)                  </t>
  </si>
  <si>
    <t>0,35 KG</t>
  </si>
  <si>
    <t>0,20 KG.</t>
  </si>
  <si>
    <t xml:space="preserve">$ 2 /KG. </t>
  </si>
  <si>
    <t>MP IMD</t>
  </si>
  <si>
    <t xml:space="preserve"> -</t>
  </si>
  <si>
    <t>-</t>
  </si>
  <si>
    <t>MOD</t>
  </si>
  <si>
    <t>0,15 HH</t>
  </si>
  <si>
    <t>0,13 HH</t>
  </si>
  <si>
    <t xml:space="preserve">MP "IMD" (can.neta )    </t>
  </si>
  <si>
    <t>0,64  Lt.</t>
  </si>
  <si>
    <t>************</t>
  </si>
  <si>
    <t>$ 0,50/ lt.</t>
  </si>
  <si>
    <t>HM</t>
  </si>
  <si>
    <t>0,2 HM</t>
  </si>
  <si>
    <t>0,3 HM</t>
  </si>
  <si>
    <t xml:space="preserve">M.O.D.                          </t>
  </si>
  <si>
    <t>0,15 H.H.</t>
  </si>
  <si>
    <t>0,13 H.H.</t>
  </si>
  <si>
    <t>$ 4/H.H.</t>
  </si>
  <si>
    <t xml:space="preserve">Horas Máquina                     </t>
  </si>
  <si>
    <t>0,2 H.M.</t>
  </si>
  <si>
    <t>0,3 H.M.</t>
  </si>
  <si>
    <t>CFP = $1530 + $1020 = $2550</t>
  </si>
  <si>
    <t>$2550 / 1700 HH</t>
  </si>
  <si>
    <t>$/HH</t>
  </si>
  <si>
    <t>Carga  fabril</t>
  </si>
  <si>
    <t>Módulo de aplicación : horas Hombre</t>
  </si>
  <si>
    <t>Cajas grandes 7000 * 0,15 HH</t>
  </si>
  <si>
    <t>Cajas chicas 5000 * 0,13 HH</t>
  </si>
  <si>
    <t>Volumen normal de producción:7000 Cajas grandes  y 5000 cajas chicas</t>
  </si>
  <si>
    <t>HH</t>
  </si>
  <si>
    <t>ALMACEN DE MP CARTON ( P.P.P.)</t>
  </si>
  <si>
    <t>Carga fabril presupuestada Fija $ 1530</t>
  </si>
  <si>
    <t>E.I.</t>
  </si>
  <si>
    <t>200 KG.</t>
  </si>
  <si>
    <t>4000* 2,5 + 200*1,45 / (4000+200)</t>
  </si>
  <si>
    <t>Carga fabril presupuestada variable $ 1020</t>
  </si>
  <si>
    <t>Produccion real</t>
  </si>
  <si>
    <t>Compras</t>
  </si>
  <si>
    <t>4000 KG.</t>
  </si>
  <si>
    <t>MP Carton</t>
  </si>
  <si>
    <t>7500 C. Grandes</t>
  </si>
  <si>
    <t>E.F</t>
  </si>
  <si>
    <t>500 KG.</t>
  </si>
  <si>
    <t>STD</t>
  </si>
  <si>
    <t>PR EN U x</t>
  </si>
  <si>
    <t>KG STD x</t>
  </si>
  <si>
    <t>$ STD</t>
  </si>
  <si>
    <t>C Chicas</t>
  </si>
  <si>
    <t>Consumo</t>
  </si>
  <si>
    <t>Produccion real:</t>
  </si>
  <si>
    <t>3525 Kg * $2/Kg =</t>
  </si>
  <si>
    <t>7500 u * 0,35 KG</t>
  </si>
  <si>
    <t xml:space="preserve">Cajas Grandes 7.500 </t>
  </si>
  <si>
    <t>4500 u * 0,2 Kg</t>
  </si>
  <si>
    <t>Concumo del almacen = produccion real</t>
  </si>
  <si>
    <t>Cajas Chicas 10% inferior al nivel normal</t>
  </si>
  <si>
    <t>KG</t>
  </si>
  <si>
    <t>REAL</t>
  </si>
  <si>
    <t>KG REAL x</t>
  </si>
  <si>
    <t>$ REAL</t>
  </si>
  <si>
    <t>Consumo MP "IMD": 5.600 Lts a $ 0,7/lt</t>
  </si>
  <si>
    <t>3700 Kg * $2,45/Kg =</t>
  </si>
  <si>
    <t xml:space="preserve">    CF real: </t>
  </si>
  <si>
    <t>Se trabajaron 1800 horas hombre y la tarifa real fue $ 1 mayor a la std</t>
  </si>
  <si>
    <t>Desfavorable, Real mayor que estandar</t>
  </si>
  <si>
    <t>SE REQUIERE</t>
  </si>
  <si>
    <t>Justificación</t>
  </si>
  <si>
    <t>1) Determinar el costo unitario estándar</t>
  </si>
  <si>
    <t>2) Determinar y justificar las variaciones de M.P. Cartón  y  MP "IMD"</t>
  </si>
  <si>
    <t>Cantidad =</t>
  </si>
  <si>
    <t>(Qstd. - Q Real ) x Pcio. Std.</t>
  </si>
  <si>
    <t>3) Establacer la variación de M.O.D.</t>
  </si>
  <si>
    <t>( 3525 KG   - 3700 Kg  )   x   $ 2        =</t>
  </si>
  <si>
    <t>Desfavorable</t>
  </si>
  <si>
    <t>4) Hallar las variaciones de carga fabril ( presupuesto, capacidad y eficiencia)</t>
  </si>
  <si>
    <t>Precio =</t>
  </si>
  <si>
    <t>(Pcio Std - P Real ) x Q Real</t>
  </si>
  <si>
    <t>EJERCICIO N*2</t>
  </si>
  <si>
    <t>( $ 2 - $2,45 )   x  3700 Kg      =</t>
  </si>
  <si>
    <t>La empresa " BJ  S.R.L."se dedica a la elaboración de chocolates</t>
  </si>
  <si>
    <t xml:space="preserve"> A partir del procesamiento de la materia prima Cacao, obtiene tres clases de chocolate: CHOCOLATE XX</t>
  </si>
  <si>
    <t>Tanto cantidad como precio real son mayores al estandar</t>
  </si>
  <si>
    <t>CHOCOLATE YY, CHOCOLATE ZZ</t>
  </si>
  <si>
    <t>De 1KG. de Cacao se obtienen:</t>
  </si>
  <si>
    <t>37% deCHOCOLATE XX</t>
  </si>
  <si>
    <t>50% deCHOCOLATE YY</t>
  </si>
  <si>
    <t>11% deCHOCOLATE ZZ</t>
  </si>
  <si>
    <t>Consumo MP IMD</t>
  </si>
  <si>
    <t>Durante el mes bajo analisis se procesaron 42000 Kgs. de Cacao incurriéndose en los siguientes costos:</t>
  </si>
  <si>
    <t>MP 42.000 KG.  a    $ 0,35/KG</t>
  </si>
  <si>
    <t>Produccion Real</t>
  </si>
  <si>
    <t>MOD  1200 H.H.  a  $ 3/H.H.</t>
  </si>
  <si>
    <t xml:space="preserve">5600 Lts </t>
  </si>
  <si>
    <t>C.F.:                        $ 2504</t>
  </si>
  <si>
    <t>7500 u *0,8 Lts * $0,5 =</t>
  </si>
  <si>
    <t>El desperdicio se vende a $ 0,1/KG.</t>
  </si>
  <si>
    <t>Los precios de mercado de los productos obtenidos son:</t>
  </si>
  <si>
    <t>CHOCOLATE XX $ 0,80 / KG.</t>
  </si>
  <si>
    <t>CHOCOLATE YY $ 0,50 / KG.</t>
  </si>
  <si>
    <t>CHOCOLATE ZZ $ 1,20 / KG.</t>
  </si>
  <si>
    <t>5600 Lts * $0,7 =</t>
  </si>
  <si>
    <t>SE REQUIERE: Determinar el costo unitario de los productos obtenidos</t>
  </si>
  <si>
    <t>Favorable</t>
  </si>
  <si>
    <t>Variación MOD</t>
  </si>
  <si>
    <t>(6000 lts   - 5600 lts  )   x   $ 0,5        =</t>
  </si>
  <si>
    <t>Q. REAL  x</t>
  </si>
  <si>
    <t>HH STD  x</t>
  </si>
  <si>
    <t>$/HH STD</t>
  </si>
  <si>
    <t>7500 u * 0,15 HH</t>
  </si>
  <si>
    <t>* $4/HH</t>
  </si>
  <si>
    <t>4500 u * 0,13 HH</t>
  </si>
  <si>
    <t>( $ 0,5 - $0,7 )   x  5600 lts      =</t>
  </si>
  <si>
    <t>HH REAL  x</t>
  </si>
  <si>
    <t>$/HH REAL</t>
  </si>
  <si>
    <t>($4 + $1)</t>
  </si>
  <si>
    <t>1800 HH * $5/HH</t>
  </si>
  <si>
    <t>Var Carga Fabril</t>
  </si>
  <si>
    <t>Niveles</t>
  </si>
  <si>
    <t>Real</t>
  </si>
  <si>
    <t>Presup</t>
  </si>
  <si>
    <t>Tasa</t>
  </si>
  <si>
    <t>PANR</t>
  </si>
  <si>
    <t>PAST</t>
  </si>
  <si>
    <t>AR</t>
  </si>
  <si>
    <r>
      <rPr>
        <sz val="10"/>
        <color theme="1"/>
        <rFont val="Calibri"/>
      </rPr>
      <t xml:space="preserve">Estándar: </t>
    </r>
    <r>
      <rPr>
        <sz val="8"/>
        <color theme="1"/>
        <rFont val="Tahoma"/>
      </rPr>
      <t>P. Real x Especif. Std.</t>
    </r>
  </si>
  <si>
    <t>Var. Tarifa</t>
  </si>
  <si>
    <t>(Tarifa STD - Tarifa REAL )  x  Q. HH REALES</t>
  </si>
  <si>
    <t>CFV</t>
  </si>
  <si>
    <t>CFF</t>
  </si>
  <si>
    <r>
      <rPr>
        <sz val="10"/>
        <color theme="1"/>
        <rFont val="Calibri"/>
      </rPr>
      <t>Presup:</t>
    </r>
    <r>
      <rPr>
        <sz val="8"/>
        <color theme="1"/>
        <rFont val="Tahoma"/>
      </rPr>
      <t xml:space="preserve"> P.Normal x Especif. Std.</t>
    </r>
  </si>
  <si>
    <t>($ 4 - $5) * 1800 HH</t>
  </si>
  <si>
    <t>Desfav</t>
  </si>
  <si>
    <t>Totales</t>
  </si>
  <si>
    <r>
      <rPr>
        <sz val="10"/>
        <color theme="1"/>
        <rFont val="Calibri"/>
      </rPr>
      <t>Real:</t>
    </r>
    <r>
      <rPr>
        <sz val="8"/>
        <color theme="1"/>
        <rFont val="Tahoma"/>
      </rPr>
      <t xml:space="preserve"> P.Real x Especif. Reales</t>
    </r>
  </si>
  <si>
    <t>Var. Eficiencia</t>
  </si>
  <si>
    <t>(HS STD  -  HS REAL)  x  Tarifa STD</t>
  </si>
  <si>
    <t>Var Neta</t>
  </si>
  <si>
    <t>STD-REAL</t>
  </si>
  <si>
    <t>(1710-1800) * $4</t>
  </si>
  <si>
    <t>V Eficiencia</t>
  </si>
  <si>
    <t>STD-AR</t>
  </si>
  <si>
    <t>Tanto tarifas como horas reales son mayor al estandar</t>
  </si>
  <si>
    <t>V Capacidad</t>
  </si>
  <si>
    <t>AR-PANR</t>
  </si>
  <si>
    <t>V Presupuesto</t>
  </si>
  <si>
    <t>PANR - REAL</t>
  </si>
  <si>
    <t>Ej 2</t>
  </si>
  <si>
    <t>1 KG</t>
  </si>
  <si>
    <t>37% C. XX</t>
  </si>
  <si>
    <t>50% C. YY</t>
  </si>
  <si>
    <t>11% C. ZZ</t>
  </si>
  <si>
    <t>2% Desp</t>
  </si>
  <si>
    <t>Desp</t>
  </si>
  <si>
    <t>Costo conjunto</t>
  </si>
  <si>
    <t>Chocolate</t>
  </si>
  <si>
    <t>Recupero</t>
  </si>
  <si>
    <t>Kg</t>
  </si>
  <si>
    <t>CF</t>
  </si>
  <si>
    <t>Costo conjunto total</t>
  </si>
  <si>
    <t>Producción</t>
  </si>
  <si>
    <t>Método del valor neto de realización</t>
  </si>
  <si>
    <t>Producto</t>
  </si>
  <si>
    <t>Porcentaje</t>
  </si>
  <si>
    <t>Precio Merc</t>
  </si>
  <si>
    <t xml:space="preserve">Costo </t>
  </si>
  <si>
    <t>Proporción</t>
  </si>
  <si>
    <t>CCA</t>
  </si>
  <si>
    <t>CCU</t>
  </si>
  <si>
    <t>C. XX</t>
  </si>
  <si>
    <t>C. YY</t>
  </si>
  <si>
    <t>C. ZZ</t>
  </si>
  <si>
    <t>APELLIDO Y NOMBRES...........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</si>
</sst>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8" formatCode="&quot;$&quot;\ #,##0.00;[Red]\-&quot;$&quot;\ #,##0.00"/>
    <numFmt numFmtId="164" formatCode="_ &quot;$&quot;\ * #,##0.00_ ;_ &quot;$&quot;\ * \-#,##0.00_ ;_ &quot;$&quot;\ * &quot;-&quot;??_ ;_ @_ "/>
    <numFmt numFmtId="165" formatCode="0.000"/>
    <numFmt numFmtId="166" formatCode="_-&quot;$&quot;\ * #,##0.00_-;\-&quot;$&quot;\ * #,##0.00_-;_-&quot;$&quot;\ * &quot;-&quot;??_-;_-@"/>
  </numFmts>
  <fonts count="16" x14ac:knownFonts="1">
    <font>
      <sz val="10"/>
      <color rgb="FF000000"/>
      <name val="Arial"/>
    </font>
    <font>
      <sz val="10"/>
      <color theme="1"/>
      <name val="Open Sans"/>
    </font>
    <font>
      <b/>
      <sz val="10"/>
      <color theme="1"/>
      <name val="Open Sans"/>
    </font>
    <font>
      <b/>
      <i/>
      <sz val="10"/>
      <color theme="1"/>
      <name val="Open Sans"/>
    </font>
    <font>
      <b/>
      <sz val="10"/>
      <name val="Arial"/>
    </font>
    <font>
      <b/>
      <sz val="10"/>
      <color theme="1"/>
      <name val="Arial"/>
    </font>
    <font>
      <b/>
      <sz val="11"/>
      <color theme="1"/>
      <name val="Courier New"/>
    </font>
    <font>
      <sz val="11"/>
      <color theme="1"/>
      <name val="Open Sans"/>
    </font>
    <font>
      <sz val="10"/>
      <color theme="1"/>
      <name val="Calibri"/>
    </font>
    <font>
      <u/>
      <sz val="11"/>
      <color theme="1"/>
      <name val="Open Sans"/>
    </font>
    <font>
      <sz val="10"/>
      <color theme="1"/>
      <name val="Arial"/>
    </font>
    <font>
      <sz val="10"/>
      <name val="Arial"/>
    </font>
    <font>
      <i/>
      <sz val="11"/>
      <color theme="1"/>
      <name val="Open Sans"/>
    </font>
    <font>
      <sz val="9"/>
      <color theme="1"/>
      <name val="Calibri"/>
    </font>
    <font>
      <b/>
      <sz val="9"/>
      <color theme="1"/>
      <name val="Calibri"/>
    </font>
    <font>
      <sz val="8"/>
      <color theme="1"/>
      <name val="Tahoma"/>
    </font>
  </fonts>
  <fills count="7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/>
    <xf numFmtId="0" fontId="9" fillId="0" borderId="0" xfId="0" applyFont="1" applyAlignment="1"/>
    <xf numFmtId="0" fontId="12" fillId="0" borderId="0" xfId="0" applyFont="1" applyAlignment="1"/>
    <xf numFmtId="0" fontId="7" fillId="0" borderId="0" xfId="0" applyFont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2" borderId="6" xfId="0" applyFont="1" applyFill="1" applyBorder="1" applyAlignment="1"/>
    <xf numFmtId="0" fontId="10" fillId="0" borderId="6" xfId="0" applyFont="1" applyBorder="1" applyAlignment="1"/>
    <xf numFmtId="9" fontId="10" fillId="0" borderId="6" xfId="0" applyNumberFormat="1" applyFont="1" applyBorder="1" applyAlignment="1"/>
    <xf numFmtId="2" fontId="10" fillId="0" borderId="6" xfId="0" applyNumberFormat="1" applyFont="1" applyBorder="1" applyAlignment="1"/>
    <xf numFmtId="164" fontId="10" fillId="0" borderId="6" xfId="0" applyNumberFormat="1" applyFont="1" applyBorder="1" applyAlignment="1"/>
    <xf numFmtId="0" fontId="7" fillId="0" borderId="0" xfId="0" applyFont="1" applyAlignment="1">
      <alignment horizontal="right"/>
    </xf>
    <xf numFmtId="9" fontId="7" fillId="0" borderId="0" xfId="0" applyNumberFormat="1" applyFont="1" applyAlignment="1">
      <alignment horizontal="center"/>
    </xf>
    <xf numFmtId="164" fontId="10" fillId="5" borderId="6" xfId="0" applyNumberFormat="1" applyFont="1" applyFill="1" applyBorder="1" applyAlignment="1"/>
    <xf numFmtId="164" fontId="10" fillId="4" borderId="6" xfId="0" applyNumberFormat="1" applyFont="1" applyFill="1" applyBorder="1" applyAlignment="1"/>
    <xf numFmtId="0" fontId="10" fillId="0" borderId="7" xfId="0" applyFont="1" applyBorder="1" applyAlignment="1"/>
    <xf numFmtId="165" fontId="10" fillId="0" borderId="0" xfId="0" applyNumberFormat="1" applyFont="1" applyAlignment="1"/>
    <xf numFmtId="8" fontId="7" fillId="0" borderId="0" xfId="0" applyNumberFormat="1" applyFont="1" applyAlignment="1"/>
    <xf numFmtId="5" fontId="7" fillId="0" borderId="0" xfId="0" applyNumberFormat="1" applyFont="1" applyAlignment="1"/>
    <xf numFmtId="164" fontId="10" fillId="0" borderId="0" xfId="0" applyNumberFormat="1" applyFont="1" applyAlignment="1"/>
    <xf numFmtId="164" fontId="7" fillId="0" borderId="0" xfId="0" applyNumberFormat="1" applyFont="1" applyAlignment="1"/>
    <xf numFmtId="0" fontId="10" fillId="0" borderId="8" xfId="0" applyFont="1" applyBorder="1" applyAlignment="1"/>
    <xf numFmtId="6" fontId="7" fillId="0" borderId="0" xfId="0" applyNumberFormat="1" applyFont="1" applyAlignment="1"/>
    <xf numFmtId="7" fontId="7" fillId="0" borderId="0" xfId="0" applyNumberFormat="1" applyFont="1" applyAlignment="1"/>
    <xf numFmtId="166" fontId="10" fillId="0" borderId="0" xfId="0" applyNumberFormat="1" applyFont="1" applyAlignment="1"/>
    <xf numFmtId="0" fontId="10" fillId="0" borderId="0" xfId="0" applyFont="1" applyAlignment="1"/>
    <xf numFmtId="0" fontId="13" fillId="6" borderId="6" xfId="0" applyFont="1" applyFill="1" applyBorder="1" applyAlignment="1">
      <alignment horizontal="center"/>
    </xf>
    <xf numFmtId="9" fontId="10" fillId="0" borderId="0" xfId="0" applyNumberFormat="1" applyFont="1" applyAlignment="1"/>
    <xf numFmtId="8" fontId="13" fillId="6" borderId="9" xfId="0" applyNumberFormat="1" applyFont="1" applyFill="1" applyBorder="1" applyAlignment="1"/>
    <xf numFmtId="0" fontId="14" fillId="6" borderId="6" xfId="0" applyFont="1" applyFill="1" applyBorder="1" applyAlignment="1">
      <alignment horizontal="center"/>
    </xf>
    <xf numFmtId="8" fontId="14" fillId="6" borderId="9" xfId="0" applyNumberFormat="1" applyFont="1" applyFill="1" applyBorder="1" applyAlignment="1"/>
    <xf numFmtId="8" fontId="10" fillId="0" borderId="0" xfId="0" applyNumberFormat="1" applyFont="1" applyAlignment="1"/>
    <xf numFmtId="6" fontId="10" fillId="0" borderId="0" xfId="0" applyNumberFormat="1" applyFont="1" applyAlignment="1"/>
    <xf numFmtId="166" fontId="10" fillId="0" borderId="6" xfId="0" applyNumberFormat="1" applyFont="1" applyBorder="1" applyAlignment="1"/>
    <xf numFmtId="0" fontId="10" fillId="2" borderId="1" xfId="0" applyFont="1" applyFill="1" applyBorder="1" applyAlignment="1">
      <alignment horizontal="center" vertical="center"/>
    </xf>
    <xf numFmtId="0" fontId="11" fillId="0" borderId="5" xfId="0" applyFont="1" applyBorder="1"/>
    <xf numFmtId="0" fontId="10" fillId="3" borderId="2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4" xfId="0" applyFont="1" applyBorder="1"/>
    <xf numFmtId="0" fontId="10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390525</xdr:colOff>
      <xdr:row>86</xdr:row>
      <xdr:rowOff>47625</xdr:rowOff>
    </xdr:from>
    <xdr:ext cx="4105275" cy="3048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362825" y="13672185"/>
          <a:ext cx="4105275" cy="304800"/>
          <a:chOff x="3293363" y="3627600"/>
          <a:chExt cx="4105275" cy="3048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293363" y="3627600"/>
            <a:ext cx="4105275" cy="304800"/>
            <a:chOff x="2785783" y="13857194"/>
            <a:chExt cx="3444688" cy="291353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785783" y="13857194"/>
              <a:ext cx="3444675" cy="2913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rot="10800000" flipH="1">
              <a:off x="2790265" y="14130617"/>
              <a:ext cx="3440206" cy="11206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 rot="10800000" flipH="1">
              <a:off x="2785783" y="13872882"/>
              <a:ext cx="4482" cy="27566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  <xdr:cxnSp macro="">
          <xdr:nvCxn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rot="10800000" flipH="1">
              <a:off x="6221507" y="13857194"/>
              <a:ext cx="4482" cy="275665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none" w="med" len="med"/>
              <a:tailEnd type="none" w="med" len="med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E4" sqref="E4"/>
    </sheetView>
  </sheetViews>
  <sheetFormatPr baseColWidth="10" defaultColWidth="14.44140625" defaultRowHeight="15" customHeight="1" x14ac:dyDescent="0.25"/>
  <cols>
    <col min="1" max="5" width="10" customWidth="1"/>
    <col min="6" max="6" width="12.33203125" customWidth="1"/>
    <col min="7" max="7" width="10" customWidth="1"/>
    <col min="8" max="8" width="19.33203125" customWidth="1"/>
    <col min="9" max="26" width="10" customWidth="1"/>
  </cols>
  <sheetData>
    <row r="1" spans="1:20" ht="12.75" customHeight="1" x14ac:dyDescent="0.25">
      <c r="A1" s="1" t="s">
        <v>0</v>
      </c>
      <c r="C1" s="2" t="s">
        <v>1</v>
      </c>
      <c r="D1" s="1"/>
      <c r="E1" s="1"/>
      <c r="F1" s="1"/>
    </row>
    <row r="2" spans="1:20" ht="12.75" customHeight="1" x14ac:dyDescent="0.25">
      <c r="A2" s="1"/>
      <c r="B2" s="1"/>
      <c r="C2" s="1"/>
      <c r="D2" s="1"/>
      <c r="E2" s="1"/>
      <c r="F2" s="1"/>
    </row>
    <row r="3" spans="1:20" ht="12.75" customHeight="1" x14ac:dyDescent="0.25">
      <c r="A3" s="2" t="s">
        <v>2</v>
      </c>
      <c r="B3" s="2"/>
      <c r="C3" s="2"/>
      <c r="D3" s="2"/>
      <c r="E3" s="2" t="s">
        <v>198</v>
      </c>
    </row>
    <row r="4" spans="1:20" ht="12.75" customHeight="1" x14ac:dyDescent="0.25">
      <c r="A4" s="3"/>
      <c r="B4" s="2"/>
      <c r="D4" s="2"/>
      <c r="E4" s="2" t="s">
        <v>3</v>
      </c>
    </row>
    <row r="5" spans="1:20" ht="12.75" customHeight="1" x14ac:dyDescent="0.25">
      <c r="A5" s="3" t="s">
        <v>4</v>
      </c>
      <c r="B5" s="3"/>
      <c r="E5" s="4" t="s">
        <v>5</v>
      </c>
    </row>
    <row r="6" spans="1:20" ht="4.5" customHeight="1" x14ac:dyDescent="0.25">
      <c r="A6" s="3"/>
      <c r="B6" s="3"/>
      <c r="E6" s="5"/>
    </row>
    <row r="7" spans="1:20" ht="4.5" customHeight="1" x14ac:dyDescent="0.25">
      <c r="A7" s="3"/>
      <c r="B7" s="3"/>
      <c r="E7" s="5"/>
    </row>
    <row r="8" spans="1:20" ht="15.75" customHeight="1" x14ac:dyDescent="0.3">
      <c r="A8" s="6" t="s">
        <v>6</v>
      </c>
    </row>
    <row r="9" spans="1:20" ht="12.75" customHeight="1" x14ac:dyDescent="0.25">
      <c r="A9" s="7" t="s">
        <v>7</v>
      </c>
      <c r="B9" s="7"/>
      <c r="C9" s="7"/>
      <c r="D9" s="7"/>
      <c r="E9" s="7"/>
      <c r="F9" s="7"/>
      <c r="G9" s="7"/>
      <c r="H9" s="7"/>
    </row>
    <row r="10" spans="1:20" ht="12.75" customHeight="1" x14ac:dyDescent="0.3">
      <c r="A10" s="7" t="s">
        <v>8</v>
      </c>
      <c r="B10" s="7"/>
      <c r="C10" s="7"/>
      <c r="D10" s="7"/>
      <c r="E10" s="7"/>
      <c r="F10" s="7"/>
      <c r="G10" s="7"/>
      <c r="H10" s="7"/>
      <c r="K10" s="8" t="s">
        <v>9</v>
      </c>
    </row>
    <row r="11" spans="1:20" ht="12.75" customHeight="1" x14ac:dyDescent="0.25">
      <c r="A11" s="9" t="s">
        <v>10</v>
      </c>
      <c r="B11" s="7"/>
      <c r="C11" s="7"/>
      <c r="D11" s="7"/>
      <c r="E11" s="7"/>
      <c r="F11" s="7"/>
      <c r="G11" s="7"/>
      <c r="H11" s="7"/>
    </row>
    <row r="12" spans="1:20" ht="12.75" customHeight="1" x14ac:dyDescent="0.25">
      <c r="A12" s="9"/>
      <c r="B12" s="7"/>
      <c r="C12" s="7"/>
      <c r="D12" s="7"/>
      <c r="E12" s="7"/>
      <c r="F12" s="7"/>
      <c r="G12" s="7"/>
      <c r="H12" s="7"/>
      <c r="J12" s="42" t="s">
        <v>11</v>
      </c>
      <c r="K12" s="44" t="s">
        <v>12</v>
      </c>
      <c r="L12" s="45"/>
      <c r="M12" s="45"/>
      <c r="N12" s="45"/>
      <c r="O12" s="46"/>
      <c r="P12" s="47" t="s">
        <v>13</v>
      </c>
      <c r="Q12" s="45"/>
      <c r="R12" s="45"/>
      <c r="S12" s="45"/>
      <c r="T12" s="46"/>
    </row>
    <row r="13" spans="1:20" ht="12.75" customHeight="1" x14ac:dyDescent="0.3">
      <c r="A13" s="7" t="s">
        <v>14</v>
      </c>
      <c r="B13" s="10"/>
      <c r="C13" s="7" t="s">
        <v>15</v>
      </c>
      <c r="D13" s="7"/>
      <c r="E13" s="11" t="s">
        <v>16</v>
      </c>
      <c r="G13" s="10" t="s">
        <v>17</v>
      </c>
      <c r="H13" s="10" t="s">
        <v>18</v>
      </c>
      <c r="J13" s="43"/>
      <c r="K13" s="12" t="s">
        <v>19</v>
      </c>
      <c r="L13" s="12" t="s">
        <v>20</v>
      </c>
      <c r="M13" s="12" t="s">
        <v>21</v>
      </c>
      <c r="N13" s="12" t="s">
        <v>22</v>
      </c>
      <c r="O13" s="12" t="s">
        <v>17</v>
      </c>
      <c r="P13" s="13" t="s">
        <v>19</v>
      </c>
      <c r="Q13" s="13" t="s">
        <v>20</v>
      </c>
      <c r="R13" s="13" t="s">
        <v>21</v>
      </c>
      <c r="S13" s="13" t="s">
        <v>22</v>
      </c>
      <c r="T13" s="13" t="s">
        <v>17</v>
      </c>
    </row>
    <row r="14" spans="1:20" ht="12.75" customHeight="1" x14ac:dyDescent="0.25">
      <c r="A14" s="7" t="s">
        <v>0</v>
      </c>
      <c r="B14" s="7"/>
      <c r="G14" s="7"/>
      <c r="H14" s="7"/>
      <c r="J14" s="14" t="s">
        <v>23</v>
      </c>
      <c r="K14" s="15"/>
      <c r="L14" s="16"/>
      <c r="M14" s="17">
        <v>0.35</v>
      </c>
      <c r="N14" s="18">
        <v>2</v>
      </c>
      <c r="O14" s="18">
        <f>0.35*N14</f>
        <v>0.7</v>
      </c>
      <c r="P14" s="16"/>
      <c r="Q14" s="16"/>
      <c r="R14" s="17">
        <v>0.2</v>
      </c>
      <c r="S14" s="18">
        <v>2</v>
      </c>
      <c r="T14" s="18">
        <f>S14*0.2</f>
        <v>0.4</v>
      </c>
    </row>
    <row r="15" spans="1:20" ht="12.75" customHeight="1" x14ac:dyDescent="0.25">
      <c r="A15" s="7" t="s">
        <v>24</v>
      </c>
      <c r="B15" s="7"/>
      <c r="C15" s="11" t="s">
        <v>25</v>
      </c>
      <c r="D15" s="19"/>
      <c r="E15" s="11" t="s">
        <v>26</v>
      </c>
      <c r="G15" s="11" t="s">
        <v>27</v>
      </c>
      <c r="H15" s="20">
        <v>0.8</v>
      </c>
      <c r="J15" s="14" t="s">
        <v>28</v>
      </c>
      <c r="K15" s="15">
        <v>0.64</v>
      </c>
      <c r="L15" s="16">
        <v>0.8</v>
      </c>
      <c r="M15" s="15">
        <f>0.64/0.8</f>
        <v>0.79999999999999993</v>
      </c>
      <c r="N15" s="18">
        <v>0.5</v>
      </c>
      <c r="O15" s="18">
        <f>M15*N15</f>
        <v>0.39999999999999997</v>
      </c>
      <c r="P15" s="15" t="s">
        <v>29</v>
      </c>
      <c r="Q15" s="15" t="s">
        <v>29</v>
      </c>
      <c r="R15" s="15" t="s">
        <v>29</v>
      </c>
      <c r="S15" s="18" t="s">
        <v>30</v>
      </c>
      <c r="T15" s="18" t="s">
        <v>30</v>
      </c>
    </row>
    <row r="16" spans="1:20" ht="12.75" customHeight="1" x14ac:dyDescent="0.25">
      <c r="A16" s="7"/>
      <c r="B16" s="7"/>
      <c r="C16" s="11"/>
      <c r="D16" s="19"/>
      <c r="E16" s="11"/>
      <c r="G16" s="11"/>
      <c r="H16" s="20"/>
      <c r="J16" s="14" t="s">
        <v>31</v>
      </c>
      <c r="K16" s="15"/>
      <c r="L16" s="15"/>
      <c r="M16" s="15" t="s">
        <v>32</v>
      </c>
      <c r="N16" s="18">
        <v>4</v>
      </c>
      <c r="O16" s="18">
        <f>0.15*N16</f>
        <v>0.6</v>
      </c>
      <c r="P16" s="15"/>
      <c r="Q16" s="15"/>
      <c r="R16" s="15" t="s">
        <v>33</v>
      </c>
      <c r="S16" s="18">
        <v>4</v>
      </c>
      <c r="T16" s="18">
        <f>0.13*S16</f>
        <v>0.52</v>
      </c>
    </row>
    <row r="17" spans="1:25" ht="12.75" customHeight="1" x14ac:dyDescent="0.25">
      <c r="A17" s="7" t="s">
        <v>34</v>
      </c>
      <c r="B17" s="7"/>
      <c r="C17" s="11" t="s">
        <v>35</v>
      </c>
      <c r="E17" s="11" t="s">
        <v>36</v>
      </c>
      <c r="G17" s="11" t="s">
        <v>37</v>
      </c>
      <c r="H17" s="20">
        <v>0.8</v>
      </c>
      <c r="J17" s="14" t="s">
        <v>38</v>
      </c>
      <c r="K17" s="15"/>
      <c r="L17" s="15"/>
      <c r="M17" s="15" t="s">
        <v>39</v>
      </c>
      <c r="N17" s="18">
        <v>1.5</v>
      </c>
      <c r="O17" s="18">
        <f>N17*0.2</f>
        <v>0.30000000000000004</v>
      </c>
      <c r="P17" s="15"/>
      <c r="Q17" s="15"/>
      <c r="R17" s="15" t="s">
        <v>40</v>
      </c>
      <c r="S17" s="18">
        <v>1.5</v>
      </c>
      <c r="T17" s="18">
        <f>S17*0.3</f>
        <v>0.44999999999999996</v>
      </c>
    </row>
    <row r="18" spans="1:25" ht="12.75" customHeight="1" x14ac:dyDescent="0.25">
      <c r="A18" s="7"/>
      <c r="B18" s="7"/>
      <c r="C18" s="11"/>
      <c r="D18" s="19"/>
      <c r="E18" s="11"/>
      <c r="G18" s="11"/>
      <c r="H18" s="11"/>
      <c r="O18" s="21">
        <f>SUM(O14:O17)</f>
        <v>1.9999999999999998</v>
      </c>
      <c r="T18" s="22">
        <f>SUM(T14:T17)</f>
        <v>1.37</v>
      </c>
    </row>
    <row r="19" spans="1:25" ht="12.75" customHeight="1" x14ac:dyDescent="0.25">
      <c r="A19" s="7" t="s">
        <v>41</v>
      </c>
      <c r="B19" s="7"/>
      <c r="C19" s="11" t="s">
        <v>42</v>
      </c>
      <c r="D19" s="19"/>
      <c r="E19" s="11" t="s">
        <v>43</v>
      </c>
      <c r="G19" s="11" t="s">
        <v>44</v>
      </c>
      <c r="H19" s="20">
        <v>1</v>
      </c>
    </row>
    <row r="20" spans="1:25" ht="12.75" customHeight="1" x14ac:dyDescent="0.25">
      <c r="A20" s="7"/>
      <c r="B20" s="7"/>
      <c r="C20" s="11"/>
      <c r="D20" s="19"/>
      <c r="E20" s="11"/>
      <c r="F20" s="7"/>
      <c r="G20" s="7"/>
      <c r="H20" s="7"/>
    </row>
    <row r="21" spans="1:25" ht="12.75" customHeight="1" x14ac:dyDescent="0.3">
      <c r="A21" s="7" t="s">
        <v>45</v>
      </c>
      <c r="B21" s="7"/>
      <c r="C21" s="11" t="s">
        <v>46</v>
      </c>
      <c r="D21" s="19"/>
      <c r="E21" s="11" t="s">
        <v>47</v>
      </c>
      <c r="F21" s="7"/>
      <c r="G21" s="7"/>
      <c r="H21" s="7"/>
      <c r="J21" s="8" t="s">
        <v>48</v>
      </c>
      <c r="O21" s="8" t="s">
        <v>49</v>
      </c>
    </row>
    <row r="22" spans="1:25" ht="12.75" customHeight="1" x14ac:dyDescent="0.3">
      <c r="A22" s="7"/>
      <c r="B22" s="7"/>
      <c r="C22" s="7"/>
      <c r="D22" s="7"/>
      <c r="E22" s="7"/>
      <c r="F22" s="7"/>
      <c r="G22" s="7"/>
      <c r="H22" s="7"/>
      <c r="O22" s="8">
        <f>2550/1700</f>
        <v>1.5</v>
      </c>
      <c r="P22" s="8" t="s">
        <v>50</v>
      </c>
      <c r="Q22" s="8" t="s">
        <v>51</v>
      </c>
    </row>
    <row r="23" spans="1:25" ht="12.75" customHeight="1" x14ac:dyDescent="0.3">
      <c r="A23" s="7" t="s">
        <v>52</v>
      </c>
      <c r="B23" s="7"/>
      <c r="C23" s="7"/>
      <c r="D23" s="7"/>
      <c r="E23" s="7"/>
      <c r="F23" s="7"/>
      <c r="H23" s="7"/>
      <c r="J23" s="8" t="s">
        <v>53</v>
      </c>
      <c r="M23" s="8">
        <f>7000*0.15</f>
        <v>1050</v>
      </c>
    </row>
    <row r="24" spans="1:25" ht="12.75" customHeight="1" x14ac:dyDescent="0.3">
      <c r="A24" s="7"/>
      <c r="B24" s="7"/>
      <c r="C24" s="7"/>
      <c r="D24" s="7"/>
      <c r="E24" s="7"/>
      <c r="F24" s="7"/>
      <c r="G24" s="7"/>
      <c r="H24" s="7"/>
      <c r="J24" s="8" t="s">
        <v>54</v>
      </c>
      <c r="M24" s="23">
        <f>5000*0.13</f>
        <v>650</v>
      </c>
    </row>
    <row r="25" spans="1:25" ht="12.75" customHeight="1" x14ac:dyDescent="0.3">
      <c r="A25" s="7" t="s">
        <v>55</v>
      </c>
      <c r="B25" s="7"/>
      <c r="C25" s="7"/>
      <c r="D25" s="7"/>
      <c r="E25" s="7"/>
      <c r="F25" s="7"/>
      <c r="G25" s="7"/>
      <c r="H25" s="7"/>
      <c r="M25" s="8">
        <f>1050+650</f>
        <v>1700</v>
      </c>
      <c r="N25" s="8" t="s">
        <v>56</v>
      </c>
      <c r="U25" s="9" t="s">
        <v>57</v>
      </c>
      <c r="V25" s="7"/>
      <c r="W25" s="7"/>
    </row>
    <row r="26" spans="1:25" ht="12.75" customHeight="1" x14ac:dyDescent="0.25">
      <c r="K26" s="24"/>
      <c r="U26" s="7"/>
      <c r="V26" s="7"/>
      <c r="W26" s="7"/>
    </row>
    <row r="27" spans="1:25" ht="12.75" customHeight="1" x14ac:dyDescent="0.3">
      <c r="A27" s="7" t="s">
        <v>58</v>
      </c>
      <c r="B27" s="7"/>
      <c r="C27" s="7"/>
      <c r="U27" s="7" t="s">
        <v>59</v>
      </c>
      <c r="V27" s="7" t="s">
        <v>60</v>
      </c>
      <c r="W27" s="25">
        <v>1.45</v>
      </c>
      <c r="Y27" s="8" t="s">
        <v>61</v>
      </c>
    </row>
    <row r="28" spans="1:25" ht="12.75" customHeight="1" x14ac:dyDescent="0.3">
      <c r="A28" s="7" t="s">
        <v>62</v>
      </c>
      <c r="B28" s="7"/>
      <c r="C28" s="26"/>
      <c r="E28" s="27"/>
      <c r="P28" s="8" t="s">
        <v>63</v>
      </c>
      <c r="U28" s="7" t="s">
        <v>64</v>
      </c>
      <c r="V28" s="7" t="s">
        <v>65</v>
      </c>
      <c r="W28" s="25">
        <v>2.5</v>
      </c>
      <c r="Y28" s="8">
        <f>(4000*2.5+200*1.45)/(4000+200)</f>
        <v>2.4500000000000002</v>
      </c>
    </row>
    <row r="29" spans="1:25" ht="12.75" customHeight="1" x14ac:dyDescent="0.3">
      <c r="A29" s="7"/>
      <c r="B29" s="7"/>
      <c r="C29" s="26"/>
      <c r="J29" s="8" t="s">
        <v>66</v>
      </c>
      <c r="P29" s="8" t="s">
        <v>67</v>
      </c>
      <c r="U29" s="7" t="s">
        <v>68</v>
      </c>
      <c r="V29" s="7" t="s">
        <v>69</v>
      </c>
      <c r="W29" s="28">
        <v>2.4500000000000002</v>
      </c>
    </row>
    <row r="30" spans="1:25" ht="12.75" customHeight="1" x14ac:dyDescent="0.3">
      <c r="A30" s="7"/>
      <c r="B30" s="7"/>
      <c r="C30" s="26"/>
      <c r="J30" s="29" t="s">
        <v>70</v>
      </c>
      <c r="L30" s="8" t="s">
        <v>71</v>
      </c>
      <c r="M30" s="8" t="s">
        <v>72</v>
      </c>
      <c r="N30" s="8" t="s">
        <v>73</v>
      </c>
      <c r="P30" s="8">
        <f>5000*0.9</f>
        <v>4500</v>
      </c>
      <c r="Q30" s="8" t="s">
        <v>74</v>
      </c>
      <c r="U30" s="7" t="s">
        <v>75</v>
      </c>
      <c r="V30" s="7">
        <f>200+4000-500</f>
        <v>3700</v>
      </c>
      <c r="W30" s="28">
        <v>2.4500000000000002</v>
      </c>
    </row>
    <row r="31" spans="1:25" ht="12.75" customHeight="1" x14ac:dyDescent="0.25">
      <c r="A31" s="7"/>
      <c r="B31" s="7"/>
      <c r="C31" s="26"/>
      <c r="D31" s="7"/>
      <c r="E31" s="7"/>
      <c r="F31" s="7"/>
      <c r="G31" s="7"/>
      <c r="H31" s="7"/>
    </row>
    <row r="32" spans="1:25" ht="12.75" customHeight="1" x14ac:dyDescent="0.3">
      <c r="A32" s="9" t="s">
        <v>76</v>
      </c>
      <c r="B32" s="7"/>
      <c r="C32" s="7"/>
      <c r="F32" s="9" t="s">
        <v>57</v>
      </c>
      <c r="G32" s="7"/>
      <c r="H32" s="7"/>
      <c r="L32" s="8" t="s">
        <v>77</v>
      </c>
      <c r="N32" s="15">
        <f>3525*2</f>
        <v>7050</v>
      </c>
      <c r="P32" s="8" t="s">
        <v>78</v>
      </c>
      <c r="R32" s="8">
        <f>7500*0.35</f>
        <v>2625</v>
      </c>
    </row>
    <row r="33" spans="1:21" ht="12.75" customHeight="1" x14ac:dyDescent="0.3">
      <c r="A33" s="7" t="s">
        <v>79</v>
      </c>
      <c r="B33" s="7"/>
      <c r="C33" s="7"/>
      <c r="F33" s="7"/>
      <c r="G33" s="7"/>
      <c r="H33" s="7"/>
      <c r="P33" s="8" t="s">
        <v>80</v>
      </c>
      <c r="R33" s="8">
        <f>4500*0.2</f>
        <v>900</v>
      </c>
      <c r="U33" s="7" t="s">
        <v>81</v>
      </c>
    </row>
    <row r="34" spans="1:21" ht="12.75" customHeight="1" x14ac:dyDescent="0.3">
      <c r="A34" s="7" t="s">
        <v>82</v>
      </c>
      <c r="B34" s="7"/>
      <c r="C34" s="7"/>
      <c r="F34" s="7" t="s">
        <v>59</v>
      </c>
      <c r="G34" s="7" t="s">
        <v>60</v>
      </c>
      <c r="H34" s="25">
        <v>1.45</v>
      </c>
      <c r="R34" s="29">
        <f>R32+R33</f>
        <v>3525</v>
      </c>
      <c r="S34" s="8" t="s">
        <v>83</v>
      </c>
    </row>
    <row r="35" spans="1:21" ht="12.75" customHeight="1" x14ac:dyDescent="0.3">
      <c r="A35" s="7"/>
      <c r="B35" s="7"/>
      <c r="C35" s="7"/>
      <c r="F35" s="7" t="s">
        <v>64</v>
      </c>
      <c r="G35" s="7" t="s">
        <v>65</v>
      </c>
      <c r="H35" s="25">
        <v>2.5</v>
      </c>
      <c r="J35" s="8" t="s">
        <v>84</v>
      </c>
      <c r="L35" s="8" t="s">
        <v>71</v>
      </c>
      <c r="M35" s="8" t="s">
        <v>85</v>
      </c>
      <c r="N35" s="8" t="s">
        <v>86</v>
      </c>
    </row>
    <row r="36" spans="1:21" ht="12.75" customHeight="1" x14ac:dyDescent="0.25">
      <c r="F36" s="7" t="s">
        <v>68</v>
      </c>
      <c r="G36" s="7" t="s">
        <v>69</v>
      </c>
      <c r="H36" s="7"/>
    </row>
    <row r="37" spans="1:21" ht="12.75" customHeight="1" x14ac:dyDescent="0.3">
      <c r="A37" s="7" t="s">
        <v>87</v>
      </c>
      <c r="B37" s="7"/>
      <c r="C37" s="7"/>
      <c r="D37" s="7"/>
      <c r="E37" s="7"/>
      <c r="F37" s="7"/>
      <c r="G37" s="7"/>
      <c r="H37" s="7"/>
      <c r="L37" s="8" t="s">
        <v>88</v>
      </c>
      <c r="N37" s="18">
        <f>3700*2.45</f>
        <v>9065</v>
      </c>
    </row>
    <row r="38" spans="1:21" ht="12.75" customHeight="1" x14ac:dyDescent="0.25">
      <c r="A38" s="7" t="s">
        <v>89</v>
      </c>
      <c r="B38" s="30">
        <v>2720</v>
      </c>
      <c r="C38" s="7"/>
      <c r="D38" s="7"/>
      <c r="E38" s="7"/>
      <c r="F38" s="7"/>
      <c r="G38" s="31"/>
      <c r="H38" s="7"/>
    </row>
    <row r="39" spans="1:21" ht="12.75" customHeight="1" x14ac:dyDescent="0.25">
      <c r="A39" s="7"/>
      <c r="B39" s="30"/>
      <c r="C39" s="7"/>
      <c r="D39" s="7"/>
      <c r="E39" s="7"/>
      <c r="F39" s="7"/>
      <c r="G39" s="31"/>
      <c r="H39" s="7"/>
    </row>
    <row r="40" spans="1:21" ht="12.75" customHeight="1" x14ac:dyDescent="0.3">
      <c r="A40" s="7" t="s">
        <v>90</v>
      </c>
      <c r="B40" s="30"/>
      <c r="C40" s="7"/>
      <c r="D40" s="7"/>
      <c r="E40" s="7"/>
      <c r="F40" s="7"/>
      <c r="G40" s="25"/>
      <c r="H40" s="7"/>
      <c r="L40" s="8" t="s">
        <v>91</v>
      </c>
      <c r="O40" s="32">
        <f>N32-N37</f>
        <v>-2015</v>
      </c>
    </row>
    <row r="41" spans="1:21" ht="12.75" customHeight="1" x14ac:dyDescent="0.25">
      <c r="A41" s="7"/>
      <c r="B41" s="7"/>
      <c r="C41" s="7"/>
      <c r="D41" s="7"/>
      <c r="E41" s="7"/>
      <c r="F41" s="7"/>
      <c r="G41" s="7"/>
      <c r="H41" s="7"/>
    </row>
    <row r="42" spans="1:21" ht="12.75" customHeight="1" x14ac:dyDescent="0.3">
      <c r="A42" s="9" t="s">
        <v>92</v>
      </c>
      <c r="B42" s="7"/>
      <c r="C42" s="7"/>
      <c r="D42" s="7"/>
      <c r="E42" s="7"/>
      <c r="F42" s="7"/>
      <c r="G42" s="7"/>
      <c r="H42" s="7"/>
      <c r="J42" s="8" t="s">
        <v>93</v>
      </c>
    </row>
    <row r="43" spans="1:21" ht="12.75" customHeight="1" x14ac:dyDescent="0.25">
      <c r="A43" s="7" t="s">
        <v>94</v>
      </c>
      <c r="B43" s="7"/>
      <c r="C43" s="7"/>
      <c r="D43" s="7"/>
      <c r="E43" s="7"/>
      <c r="F43" s="7"/>
      <c r="G43" s="7"/>
      <c r="H43" s="7"/>
    </row>
    <row r="44" spans="1:21" ht="12.75" customHeight="1" x14ac:dyDescent="0.3">
      <c r="A44" s="7" t="s">
        <v>95</v>
      </c>
      <c r="B44" s="7"/>
      <c r="C44" s="7"/>
      <c r="D44" s="7"/>
      <c r="E44" s="7"/>
      <c r="F44" s="7"/>
      <c r="G44" s="7"/>
      <c r="H44" s="7"/>
      <c r="J44" s="8" t="s">
        <v>96</v>
      </c>
      <c r="K44" s="8" t="s">
        <v>97</v>
      </c>
    </row>
    <row r="45" spans="1:21" ht="12.75" customHeight="1" x14ac:dyDescent="0.3">
      <c r="A45" s="7" t="s">
        <v>98</v>
      </c>
      <c r="B45" s="7"/>
      <c r="C45" s="7"/>
      <c r="D45" s="7"/>
      <c r="E45" s="7"/>
      <c r="F45" s="7"/>
      <c r="G45" s="7"/>
      <c r="H45" s="7"/>
      <c r="K45" s="8" t="s">
        <v>99</v>
      </c>
      <c r="N45" s="8">
        <f>(3525-3700)*2</f>
        <v>-350</v>
      </c>
      <c r="O45" s="8" t="s">
        <v>100</v>
      </c>
    </row>
    <row r="46" spans="1:21" ht="12.75" customHeight="1" x14ac:dyDescent="0.25">
      <c r="A46" s="7" t="s">
        <v>101</v>
      </c>
      <c r="B46" s="7"/>
      <c r="C46" s="7"/>
      <c r="D46" s="7"/>
      <c r="E46" s="7"/>
      <c r="F46" s="7"/>
      <c r="G46" s="7"/>
      <c r="H46" s="7"/>
    </row>
    <row r="47" spans="1:21" ht="12.75" customHeight="1" x14ac:dyDescent="0.3">
      <c r="J47" s="8" t="s">
        <v>102</v>
      </c>
      <c r="K47" s="8" t="s">
        <v>103</v>
      </c>
    </row>
    <row r="48" spans="1:21" ht="15.75" customHeight="1" x14ac:dyDescent="0.3">
      <c r="A48" s="6" t="s">
        <v>104</v>
      </c>
      <c r="B48" s="1"/>
      <c r="C48" s="1"/>
      <c r="D48" s="1"/>
      <c r="E48" s="1"/>
      <c r="F48" s="1"/>
      <c r="G48" s="1"/>
      <c r="H48" s="1"/>
      <c r="K48" s="8" t="s">
        <v>105</v>
      </c>
      <c r="N48" s="8">
        <f>(2-2.45)*3700</f>
        <v>-1665.0000000000007</v>
      </c>
      <c r="O48" s="8" t="s">
        <v>100</v>
      </c>
    </row>
    <row r="49" spans="1:18" ht="12.75" customHeight="1" x14ac:dyDescent="0.3">
      <c r="A49" s="8" t="s">
        <v>0</v>
      </c>
      <c r="C49" s="8" t="s">
        <v>106</v>
      </c>
      <c r="G49" s="1"/>
      <c r="H49" s="1"/>
      <c r="N49" s="29">
        <f>N45+N48</f>
        <v>-2015.0000000000007</v>
      </c>
    </row>
    <row r="50" spans="1:18" ht="12.75" customHeight="1" x14ac:dyDescent="0.3">
      <c r="A50" s="8" t="s">
        <v>107</v>
      </c>
      <c r="G50" s="1"/>
      <c r="H50" s="1"/>
      <c r="J50" s="8" t="s">
        <v>108</v>
      </c>
    </row>
    <row r="51" spans="1:18" ht="12.75" customHeight="1" x14ac:dyDescent="0.3">
      <c r="A51" s="8" t="s">
        <v>109</v>
      </c>
      <c r="G51" s="1"/>
      <c r="H51" s="1"/>
    </row>
    <row r="52" spans="1:18" ht="12.75" customHeight="1" x14ac:dyDescent="0.3">
      <c r="A52" s="8" t="s">
        <v>110</v>
      </c>
      <c r="G52" s="1"/>
      <c r="H52" s="1"/>
    </row>
    <row r="53" spans="1:18" ht="12.75" customHeight="1" x14ac:dyDescent="0.25">
      <c r="G53" s="1"/>
      <c r="H53" s="1"/>
    </row>
    <row r="54" spans="1:18" ht="12.75" customHeight="1" x14ac:dyDescent="0.3">
      <c r="A54" s="8" t="s">
        <v>111</v>
      </c>
      <c r="C54" s="8" t="s">
        <v>112</v>
      </c>
      <c r="F54" s="8" t="s">
        <v>113</v>
      </c>
      <c r="G54" s="1"/>
      <c r="H54" s="1"/>
    </row>
    <row r="55" spans="1:18" ht="12.75" customHeight="1" x14ac:dyDescent="0.3">
      <c r="G55" s="1"/>
      <c r="H55" s="1"/>
      <c r="J55" s="8" t="s">
        <v>114</v>
      </c>
    </row>
    <row r="56" spans="1:18" ht="12.75" customHeight="1" x14ac:dyDescent="0.3">
      <c r="A56" s="8" t="s">
        <v>115</v>
      </c>
      <c r="G56" s="1"/>
      <c r="H56" s="1"/>
      <c r="J56" s="29"/>
      <c r="K56" s="29"/>
    </row>
    <row r="57" spans="1:18" ht="12.75" customHeight="1" x14ac:dyDescent="0.25">
      <c r="G57" s="1"/>
      <c r="H57" s="1"/>
    </row>
    <row r="58" spans="1:18" ht="12.75" customHeight="1" x14ac:dyDescent="0.3">
      <c r="A58" s="8" t="s">
        <v>116</v>
      </c>
      <c r="G58" s="1"/>
      <c r="H58" s="1"/>
      <c r="J58" s="29" t="s">
        <v>70</v>
      </c>
      <c r="L58" s="8" t="s">
        <v>71</v>
      </c>
      <c r="M58" s="8" t="s">
        <v>72</v>
      </c>
      <c r="N58" s="8" t="s">
        <v>73</v>
      </c>
      <c r="P58" s="8" t="s">
        <v>117</v>
      </c>
    </row>
    <row r="59" spans="1:18" ht="12.75" customHeight="1" x14ac:dyDescent="0.3">
      <c r="A59" s="8" t="s">
        <v>118</v>
      </c>
      <c r="G59" s="1"/>
      <c r="H59" s="1"/>
      <c r="P59" s="8" t="s">
        <v>119</v>
      </c>
      <c r="R59" s="8">
        <f>5600/7500</f>
        <v>0.7466666666666667</v>
      </c>
    </row>
    <row r="60" spans="1:18" ht="12.75" customHeight="1" x14ac:dyDescent="0.3">
      <c r="A60" s="8" t="s">
        <v>120</v>
      </c>
      <c r="G60" s="1"/>
      <c r="H60" s="1"/>
      <c r="L60" s="33" t="s">
        <v>121</v>
      </c>
      <c r="N60" s="15">
        <f>7500*0.8*0.5</f>
        <v>3000</v>
      </c>
    </row>
    <row r="61" spans="1:18" ht="12.75" customHeight="1" x14ac:dyDescent="0.3">
      <c r="A61" s="8" t="s">
        <v>122</v>
      </c>
    </row>
    <row r="62" spans="1:18" ht="12.75" customHeight="1" x14ac:dyDescent="0.3">
      <c r="J62" s="8" t="s">
        <v>84</v>
      </c>
      <c r="L62" s="8" t="s">
        <v>71</v>
      </c>
      <c r="M62" s="8" t="s">
        <v>85</v>
      </c>
      <c r="N62" s="8" t="s">
        <v>86</v>
      </c>
    </row>
    <row r="63" spans="1:18" ht="12.75" customHeight="1" x14ac:dyDescent="0.3">
      <c r="A63" s="8" t="s">
        <v>123</v>
      </c>
    </row>
    <row r="64" spans="1:18" ht="12.75" customHeight="1" x14ac:dyDescent="0.3">
      <c r="A64" s="8" t="s">
        <v>124</v>
      </c>
      <c r="C64" s="8" t="s">
        <v>125</v>
      </c>
      <c r="F64" s="8" t="s">
        <v>126</v>
      </c>
      <c r="L64" s="8" t="s">
        <v>127</v>
      </c>
      <c r="N64" s="15">
        <f>5600*0.7</f>
        <v>3919.9999999999995</v>
      </c>
    </row>
    <row r="65" spans="1:16" ht="12.75" customHeight="1" x14ac:dyDescent="0.25"/>
    <row r="66" spans="1:16" ht="12.75" customHeight="1" x14ac:dyDescent="0.3">
      <c r="A66" s="5" t="s">
        <v>128</v>
      </c>
      <c r="M66" s="8" t="s">
        <v>129</v>
      </c>
      <c r="N66" s="8">
        <f>N60-N64</f>
        <v>-919.99999999999955</v>
      </c>
    </row>
    <row r="67" spans="1:16" ht="12.75" customHeight="1" x14ac:dyDescent="0.25"/>
    <row r="68" spans="1:16" ht="12.75" customHeight="1" x14ac:dyDescent="0.3">
      <c r="J68" s="8" t="s">
        <v>93</v>
      </c>
      <c r="P68" s="8">
        <f>7500*0.8</f>
        <v>6000</v>
      </c>
    </row>
    <row r="69" spans="1:16" ht="12.75" customHeight="1" x14ac:dyDescent="0.25"/>
    <row r="70" spans="1:16" ht="12.75" customHeight="1" x14ac:dyDescent="0.3">
      <c r="A70" s="8" t="s">
        <v>130</v>
      </c>
      <c r="J70" s="8" t="s">
        <v>96</v>
      </c>
      <c r="K70" s="8" t="s">
        <v>97</v>
      </c>
    </row>
    <row r="71" spans="1:16" ht="12.75" customHeight="1" x14ac:dyDescent="0.3">
      <c r="K71" s="33" t="s">
        <v>131</v>
      </c>
      <c r="N71" s="8">
        <f>(6000-5600)*0.5</f>
        <v>200</v>
      </c>
      <c r="O71" s="8" t="s">
        <v>129</v>
      </c>
    </row>
    <row r="72" spans="1:16" ht="12.75" customHeight="1" x14ac:dyDescent="0.3">
      <c r="A72" s="8" t="s">
        <v>70</v>
      </c>
      <c r="C72" s="8" t="s">
        <v>132</v>
      </c>
      <c r="D72" s="8" t="s">
        <v>133</v>
      </c>
      <c r="E72" s="8" t="s">
        <v>134</v>
      </c>
    </row>
    <row r="73" spans="1:16" ht="12.75" customHeight="1" x14ac:dyDescent="0.3">
      <c r="A73" s="8">
        <f>7500*0.15+4500*0.13</f>
        <v>1710</v>
      </c>
      <c r="C73" s="8" t="s">
        <v>135</v>
      </c>
      <c r="E73" s="8" t="s">
        <v>136</v>
      </c>
      <c r="F73" s="15">
        <f>(7500*0.15+4500*0.13)*4</f>
        <v>6840</v>
      </c>
      <c r="J73" s="8" t="s">
        <v>102</v>
      </c>
      <c r="K73" s="8" t="s">
        <v>103</v>
      </c>
    </row>
    <row r="74" spans="1:16" ht="12.75" customHeight="1" x14ac:dyDescent="0.3">
      <c r="C74" s="8" t="s">
        <v>137</v>
      </c>
      <c r="K74" s="8" t="s">
        <v>138</v>
      </c>
      <c r="N74" s="8">
        <f>(0.5-0.7)*5600</f>
        <v>-1119.9999999999998</v>
      </c>
      <c r="O74" s="8" t="s">
        <v>100</v>
      </c>
    </row>
    <row r="75" spans="1:16" ht="12.75" customHeight="1" x14ac:dyDescent="0.25">
      <c r="N75" s="29"/>
    </row>
    <row r="76" spans="1:16" ht="12.75" customHeight="1" x14ac:dyDescent="0.3">
      <c r="N76" s="8">
        <f>N71+N74</f>
        <v>-919.99999999999977</v>
      </c>
    </row>
    <row r="77" spans="1:16" ht="12.75" customHeight="1" x14ac:dyDescent="0.3">
      <c r="A77" s="8" t="s">
        <v>84</v>
      </c>
      <c r="C77" s="8" t="s">
        <v>132</v>
      </c>
      <c r="D77" s="8" t="s">
        <v>139</v>
      </c>
      <c r="E77" s="8" t="s">
        <v>140</v>
      </c>
    </row>
    <row r="78" spans="1:16" ht="12.75" customHeight="1" x14ac:dyDescent="0.25"/>
    <row r="79" spans="1:16" ht="12.75" customHeight="1" x14ac:dyDescent="0.3">
      <c r="A79" s="8" t="s">
        <v>141</v>
      </c>
      <c r="C79" s="8" t="s">
        <v>142</v>
      </c>
      <c r="F79" s="15">
        <f>1800*5</f>
        <v>9000</v>
      </c>
    </row>
    <row r="80" spans="1:16" ht="12.75" customHeight="1" x14ac:dyDescent="0.3">
      <c r="I80" s="8" t="s">
        <v>143</v>
      </c>
    </row>
    <row r="81" spans="1:18" ht="12.75" customHeight="1" x14ac:dyDescent="0.3">
      <c r="E81" s="8" t="s">
        <v>100</v>
      </c>
      <c r="F81" s="8">
        <f>F73-F79</f>
        <v>-2160</v>
      </c>
    </row>
    <row r="82" spans="1:18" ht="12.75" customHeight="1" x14ac:dyDescent="0.3">
      <c r="I82" s="34" t="s">
        <v>144</v>
      </c>
      <c r="J82" s="34" t="s">
        <v>145</v>
      </c>
      <c r="K82" s="34" t="s">
        <v>146</v>
      </c>
      <c r="L82" s="34" t="s">
        <v>147</v>
      </c>
      <c r="M82" s="34" t="s">
        <v>148</v>
      </c>
      <c r="N82" s="34" t="s">
        <v>149</v>
      </c>
      <c r="O82" s="34" t="s">
        <v>150</v>
      </c>
      <c r="P82" s="34" t="s">
        <v>70</v>
      </c>
      <c r="R82" s="8" t="s">
        <v>151</v>
      </c>
    </row>
    <row r="83" spans="1:18" ht="12.75" customHeight="1" x14ac:dyDescent="0.25">
      <c r="I83" s="34"/>
      <c r="J83" s="34">
        <v>1800</v>
      </c>
      <c r="K83" s="34">
        <v>1700</v>
      </c>
      <c r="L83" s="34" t="s">
        <v>56</v>
      </c>
      <c r="M83" s="34">
        <v>1800</v>
      </c>
      <c r="N83" s="34">
        <v>1710</v>
      </c>
      <c r="O83" s="34">
        <v>1800</v>
      </c>
      <c r="P83" s="34">
        <v>1710</v>
      </c>
    </row>
    <row r="84" spans="1:18" ht="12.75" customHeight="1" x14ac:dyDescent="0.3">
      <c r="A84" s="8" t="s">
        <v>152</v>
      </c>
      <c r="C84" s="8" t="s">
        <v>153</v>
      </c>
      <c r="H84" s="35">
        <v>0.4</v>
      </c>
      <c r="I84" s="34" t="s">
        <v>154</v>
      </c>
      <c r="J84" s="34" t="s">
        <v>30</v>
      </c>
      <c r="K84" s="36">
        <v>1020</v>
      </c>
      <c r="L84" s="36">
        <f>L86*0.4</f>
        <v>0.60000000000000009</v>
      </c>
      <c r="M84" s="36">
        <f>M83*L84</f>
        <v>1080.0000000000002</v>
      </c>
      <c r="N84" s="36">
        <f>N83*L84</f>
        <v>1026.0000000000002</v>
      </c>
      <c r="O84" s="36">
        <f>O83*L84</f>
        <v>1080.0000000000002</v>
      </c>
      <c r="P84" s="36">
        <f>P83*L84</f>
        <v>1026.0000000000002</v>
      </c>
    </row>
    <row r="85" spans="1:18" ht="12.75" customHeight="1" x14ac:dyDescent="0.3">
      <c r="H85" s="35">
        <v>0.6</v>
      </c>
      <c r="I85" s="34" t="s">
        <v>155</v>
      </c>
      <c r="J85" s="34" t="s">
        <v>30</v>
      </c>
      <c r="K85" s="36">
        <v>1530</v>
      </c>
      <c r="L85" s="36">
        <f>L86*0.6</f>
        <v>0.89999999999999991</v>
      </c>
      <c r="M85" s="36">
        <v>1530</v>
      </c>
      <c r="N85" s="36">
        <v>1530</v>
      </c>
      <c r="O85" s="36">
        <f>O83*L85</f>
        <v>1619.9999999999998</v>
      </c>
      <c r="P85" s="36">
        <f>P83*L85</f>
        <v>1538.9999999999998</v>
      </c>
      <c r="R85" s="8" t="s">
        <v>156</v>
      </c>
    </row>
    <row r="86" spans="1:18" ht="12.75" customHeight="1" x14ac:dyDescent="0.3">
      <c r="C86" s="8" t="s">
        <v>157</v>
      </c>
      <c r="F86" s="8">
        <f>1800*-1</f>
        <v>-1800</v>
      </c>
      <c r="G86" s="8" t="s">
        <v>158</v>
      </c>
      <c r="I86" s="37" t="s">
        <v>159</v>
      </c>
      <c r="J86" s="38">
        <v>2720</v>
      </c>
      <c r="K86" s="38">
        <v>2550</v>
      </c>
      <c r="L86" s="38">
        <v>1.5</v>
      </c>
      <c r="M86" s="38">
        <f t="shared" ref="M86:P86" si="0">M84+M85</f>
        <v>2610</v>
      </c>
      <c r="N86" s="38">
        <f t="shared" si="0"/>
        <v>2556</v>
      </c>
      <c r="O86" s="38">
        <f t="shared" si="0"/>
        <v>2700</v>
      </c>
      <c r="P86" s="38">
        <f t="shared" si="0"/>
        <v>2565</v>
      </c>
    </row>
    <row r="87" spans="1:18" ht="12.75" customHeight="1" x14ac:dyDescent="0.25"/>
    <row r="88" spans="1:18" ht="12.75" customHeight="1" x14ac:dyDescent="0.3">
      <c r="R88" s="8" t="s">
        <v>160</v>
      </c>
    </row>
    <row r="89" spans="1:18" ht="12.75" customHeight="1" x14ac:dyDescent="0.3">
      <c r="A89" s="8" t="s">
        <v>161</v>
      </c>
      <c r="C89" s="8" t="s">
        <v>162</v>
      </c>
    </row>
    <row r="90" spans="1:18" ht="12.75" customHeight="1" x14ac:dyDescent="0.25">
      <c r="J90" s="27" t="s">
        <v>163</v>
      </c>
      <c r="K90" s="33" t="s">
        <v>164</v>
      </c>
      <c r="L90" s="27">
        <f>P86-J86</f>
        <v>-155</v>
      </c>
      <c r="M90" s="27" t="s">
        <v>100</v>
      </c>
    </row>
    <row r="91" spans="1:18" ht="12.75" customHeight="1" x14ac:dyDescent="0.3">
      <c r="C91" s="8" t="s">
        <v>165</v>
      </c>
      <c r="F91" s="8">
        <f>(1710-1800)*4</f>
        <v>-360</v>
      </c>
      <c r="G91" s="8" t="s">
        <v>158</v>
      </c>
      <c r="K91" s="27"/>
      <c r="L91" s="27"/>
    </row>
    <row r="92" spans="1:18" ht="12.75" customHeight="1" x14ac:dyDescent="0.3">
      <c r="F92" s="29"/>
      <c r="I92" s="8" t="s">
        <v>166</v>
      </c>
      <c r="J92" s="8" t="s">
        <v>167</v>
      </c>
      <c r="K92" s="27">
        <f>P86-O86</f>
        <v>-135</v>
      </c>
      <c r="L92" s="27" t="s">
        <v>100</v>
      </c>
    </row>
    <row r="93" spans="1:18" ht="12.75" customHeight="1" x14ac:dyDescent="0.3">
      <c r="C93" s="48" t="s">
        <v>168</v>
      </c>
      <c r="D93" s="49"/>
      <c r="E93" s="49"/>
      <c r="F93" s="8">
        <f>F86+F91</f>
        <v>-2160</v>
      </c>
      <c r="I93" s="8" t="s">
        <v>169</v>
      </c>
      <c r="J93" s="8" t="s">
        <v>170</v>
      </c>
      <c r="K93" s="27">
        <f>O86-M86</f>
        <v>90</v>
      </c>
      <c r="L93" s="27" t="s">
        <v>129</v>
      </c>
    </row>
    <row r="94" spans="1:18" ht="12.75" customHeight="1" x14ac:dyDescent="0.3">
      <c r="C94" s="49"/>
      <c r="D94" s="49"/>
      <c r="E94" s="49"/>
      <c r="I94" s="8" t="s">
        <v>171</v>
      </c>
      <c r="J94" s="8" t="s">
        <v>172</v>
      </c>
      <c r="K94" s="27">
        <f>M86-J86</f>
        <v>-110</v>
      </c>
      <c r="L94" s="27" t="s">
        <v>100</v>
      </c>
      <c r="N94" s="27"/>
    </row>
    <row r="95" spans="1:18" ht="12.75" customHeight="1" x14ac:dyDescent="0.25">
      <c r="K95" s="27"/>
      <c r="L95" s="27"/>
    </row>
    <row r="96" spans="1:18" ht="12.75" customHeight="1" x14ac:dyDescent="0.25"/>
    <row r="97" spans="1:15" ht="12.75" customHeight="1" x14ac:dyDescent="0.25"/>
    <row r="98" spans="1:15" ht="12.75" customHeight="1" x14ac:dyDescent="0.25"/>
    <row r="99" spans="1:15" ht="12.75" customHeight="1" x14ac:dyDescent="0.25"/>
    <row r="100" spans="1:15" ht="12.75" customHeight="1" x14ac:dyDescent="0.25"/>
    <row r="101" spans="1:15" ht="12.75" customHeight="1" x14ac:dyDescent="0.25"/>
    <row r="102" spans="1:15" ht="12.75" customHeight="1" x14ac:dyDescent="0.25">
      <c r="A102" s="33" t="s">
        <v>173</v>
      </c>
    </row>
    <row r="103" spans="1:15" ht="12.75" customHeight="1" x14ac:dyDescent="0.25">
      <c r="B103" s="33" t="s">
        <v>174</v>
      </c>
      <c r="E103" s="33">
        <v>42000</v>
      </c>
      <c r="F103" s="33" t="s">
        <v>83</v>
      </c>
      <c r="J103" s="1"/>
    </row>
    <row r="104" spans="1:15" ht="12.75" customHeight="1" x14ac:dyDescent="0.25"/>
    <row r="105" spans="1:15" ht="12.75" customHeight="1" x14ac:dyDescent="0.3">
      <c r="B105" s="33" t="s">
        <v>175</v>
      </c>
      <c r="C105" s="8">
        <v>0.37</v>
      </c>
      <c r="E105" s="8">
        <f>E103*C105</f>
        <v>15540</v>
      </c>
      <c r="F105" s="33" t="s">
        <v>83</v>
      </c>
      <c r="O105" s="1"/>
    </row>
    <row r="106" spans="1:15" ht="12.75" customHeight="1" x14ac:dyDescent="0.25">
      <c r="O106" s="1"/>
    </row>
    <row r="107" spans="1:15" ht="12.75" customHeight="1" x14ac:dyDescent="0.3">
      <c r="B107" s="33" t="s">
        <v>176</v>
      </c>
      <c r="C107" s="8">
        <v>0.5</v>
      </c>
      <c r="E107" s="8">
        <f>E103*C107</f>
        <v>21000</v>
      </c>
      <c r="F107" s="33" t="s">
        <v>83</v>
      </c>
      <c r="O107" s="1"/>
    </row>
    <row r="108" spans="1:15" ht="12.75" customHeight="1" x14ac:dyDescent="0.25">
      <c r="O108" s="1"/>
    </row>
    <row r="109" spans="1:15" ht="12.75" customHeight="1" x14ac:dyDescent="0.3">
      <c r="B109" s="33" t="s">
        <v>177</v>
      </c>
      <c r="C109" s="8">
        <v>0.11</v>
      </c>
      <c r="E109" s="8">
        <f>E103*C109</f>
        <v>4620</v>
      </c>
      <c r="F109" s="33" t="s">
        <v>83</v>
      </c>
      <c r="O109" s="1"/>
    </row>
    <row r="110" spans="1:15" ht="12.75" customHeight="1" x14ac:dyDescent="0.25"/>
    <row r="111" spans="1:15" ht="12.75" customHeight="1" x14ac:dyDescent="0.3">
      <c r="B111" s="33" t="s">
        <v>178</v>
      </c>
      <c r="C111" s="8">
        <v>0.02</v>
      </c>
      <c r="E111" s="8">
        <f>E103*C111</f>
        <v>840</v>
      </c>
      <c r="F111" s="33" t="s">
        <v>179</v>
      </c>
    </row>
    <row r="112" spans="1:15" ht="12.75" customHeight="1" x14ac:dyDescent="0.25"/>
    <row r="113" spans="2:14" ht="12.75" customHeight="1" x14ac:dyDescent="0.3">
      <c r="C113" s="8">
        <f>SUM(C105:C112)</f>
        <v>1</v>
      </c>
    </row>
    <row r="114" spans="2:14" ht="12.75" customHeight="1" x14ac:dyDescent="0.25"/>
    <row r="115" spans="2:14" ht="12.75" customHeight="1" x14ac:dyDescent="0.25"/>
    <row r="116" spans="2:14" ht="12.75" customHeight="1" x14ac:dyDescent="0.25">
      <c r="B116" s="33" t="s">
        <v>180</v>
      </c>
    </row>
    <row r="117" spans="2:14" ht="12.75" customHeight="1" x14ac:dyDescent="0.25"/>
    <row r="118" spans="2:14" ht="12.75" customHeight="1" x14ac:dyDescent="0.25">
      <c r="D118" s="33" t="s">
        <v>22</v>
      </c>
    </row>
    <row r="119" spans="2:14" ht="12.75" customHeight="1" x14ac:dyDescent="0.25">
      <c r="B119" s="33" t="s">
        <v>181</v>
      </c>
    </row>
    <row r="120" spans="2:14" ht="12.75" customHeight="1" x14ac:dyDescent="0.25">
      <c r="B120" s="33">
        <v>42000</v>
      </c>
      <c r="C120" s="33" t="s">
        <v>83</v>
      </c>
      <c r="D120" s="39">
        <v>0.35</v>
      </c>
      <c r="F120" s="39">
        <f>B120*D120</f>
        <v>14699.999999999998</v>
      </c>
    </row>
    <row r="121" spans="2:14" ht="12.75" customHeight="1" x14ac:dyDescent="0.25">
      <c r="N121" s="1"/>
    </row>
    <row r="122" spans="2:14" ht="12.75" customHeight="1" x14ac:dyDescent="0.25">
      <c r="B122" s="33" t="s">
        <v>31</v>
      </c>
      <c r="N122" s="1"/>
    </row>
    <row r="123" spans="2:14" ht="12.75" customHeight="1" x14ac:dyDescent="0.3">
      <c r="B123" s="8">
        <v>1200</v>
      </c>
      <c r="C123" s="33" t="s">
        <v>56</v>
      </c>
      <c r="D123" s="40">
        <v>3</v>
      </c>
      <c r="F123" s="40">
        <f>B123*D123</f>
        <v>3600</v>
      </c>
      <c r="N123" s="1"/>
    </row>
    <row r="124" spans="2:14" ht="12.75" customHeight="1" x14ac:dyDescent="0.25">
      <c r="N124" s="1"/>
    </row>
    <row r="125" spans="2:14" ht="12.75" customHeight="1" x14ac:dyDescent="0.25">
      <c r="B125" s="33" t="s">
        <v>182</v>
      </c>
      <c r="N125" s="1"/>
    </row>
    <row r="126" spans="2:14" ht="12.75" customHeight="1" x14ac:dyDescent="0.3">
      <c r="B126" s="8">
        <v>840</v>
      </c>
      <c r="C126" s="33" t="s">
        <v>183</v>
      </c>
      <c r="D126" s="39">
        <v>0.1</v>
      </c>
      <c r="F126" s="39">
        <f>D126*B126</f>
        <v>84</v>
      </c>
    </row>
    <row r="127" spans="2:14" ht="12.75" customHeight="1" x14ac:dyDescent="0.25"/>
    <row r="128" spans="2:14" ht="12.75" customHeight="1" x14ac:dyDescent="0.25">
      <c r="B128" s="33" t="s">
        <v>184</v>
      </c>
      <c r="F128" s="40">
        <v>2504</v>
      </c>
    </row>
    <row r="129" spans="2:13" ht="12.75" customHeight="1" x14ac:dyDescent="0.3">
      <c r="F129" s="18">
        <f>SUM(F119:F128)</f>
        <v>20888</v>
      </c>
      <c r="M129" s="8" t="s">
        <v>126</v>
      </c>
    </row>
    <row r="130" spans="2:13" ht="12.75" customHeight="1" x14ac:dyDescent="0.25">
      <c r="F130" s="33" t="s">
        <v>185</v>
      </c>
    </row>
    <row r="131" spans="2:13" ht="12.75" customHeight="1" x14ac:dyDescent="0.25"/>
    <row r="132" spans="2:13" ht="12.75" customHeight="1" x14ac:dyDescent="0.25"/>
    <row r="133" spans="2:13" ht="12.75" customHeight="1" x14ac:dyDescent="0.25">
      <c r="B133" s="33"/>
      <c r="C133" s="33"/>
      <c r="D133" s="33"/>
      <c r="E133" s="33"/>
      <c r="F133" s="33"/>
      <c r="G133" s="33"/>
      <c r="H133" s="33"/>
      <c r="I133" s="33"/>
    </row>
    <row r="134" spans="2:13" ht="12.75" customHeight="1" x14ac:dyDescent="0.25">
      <c r="B134" s="33"/>
      <c r="C134" s="33" t="s">
        <v>186</v>
      </c>
      <c r="D134" s="33"/>
      <c r="E134" s="33" t="s">
        <v>187</v>
      </c>
      <c r="F134" s="33"/>
      <c r="G134" s="33"/>
      <c r="H134" s="33"/>
      <c r="I134" s="33"/>
    </row>
    <row r="135" spans="2:13" ht="12.75" customHeight="1" x14ac:dyDescent="0.25">
      <c r="B135" s="33" t="s">
        <v>188</v>
      </c>
      <c r="C135" s="33" t="s">
        <v>189</v>
      </c>
      <c r="D135" s="33" t="s">
        <v>83</v>
      </c>
      <c r="E135" s="33" t="s">
        <v>190</v>
      </c>
      <c r="F135" s="33" t="s">
        <v>191</v>
      </c>
      <c r="G135" s="33" t="s">
        <v>192</v>
      </c>
      <c r="H135" s="33" t="s">
        <v>193</v>
      </c>
      <c r="I135" s="33" t="s">
        <v>194</v>
      </c>
    </row>
    <row r="136" spans="2:13" ht="12.75" customHeight="1" x14ac:dyDescent="0.25">
      <c r="B136" s="33" t="s">
        <v>195</v>
      </c>
      <c r="C136" s="33">
        <v>0.37</v>
      </c>
      <c r="D136" s="33">
        <v>15540</v>
      </c>
      <c r="E136" s="27">
        <v>0.8</v>
      </c>
      <c r="F136" s="32">
        <f t="shared" ref="F136:F138" si="1">E136*D136</f>
        <v>12432</v>
      </c>
      <c r="G136" s="35">
        <f>F136/F140</f>
        <v>0.43657817109144542</v>
      </c>
      <c r="H136" s="32">
        <f>F129*G136</f>
        <v>9119.2448377581113</v>
      </c>
      <c r="I136" s="41">
        <f t="shared" ref="I136:I138" si="2">H136/D136</f>
        <v>0.5868239921337266</v>
      </c>
    </row>
    <row r="137" spans="2:13" ht="12.75" customHeight="1" x14ac:dyDescent="0.25">
      <c r="B137" s="33" t="s">
        <v>196</v>
      </c>
      <c r="C137" s="33">
        <v>0.5</v>
      </c>
      <c r="D137" s="33">
        <v>21000</v>
      </c>
      <c r="E137" s="27">
        <v>0.5</v>
      </c>
      <c r="F137" s="32">
        <f t="shared" si="1"/>
        <v>10500</v>
      </c>
      <c r="G137" s="35">
        <f>F137/F140</f>
        <v>0.36873156342182889</v>
      </c>
      <c r="H137" s="32">
        <f>F129*G137</f>
        <v>7702.0648967551615</v>
      </c>
      <c r="I137" s="41">
        <f t="shared" si="2"/>
        <v>0.36676499508357913</v>
      </c>
    </row>
    <row r="138" spans="2:13" ht="12.75" customHeight="1" x14ac:dyDescent="0.25">
      <c r="B138" s="33" t="s">
        <v>197</v>
      </c>
      <c r="C138" s="33">
        <v>0.11</v>
      </c>
      <c r="D138" s="33">
        <v>4620</v>
      </c>
      <c r="E138" s="27">
        <v>1.2</v>
      </c>
      <c r="F138" s="32">
        <f t="shared" si="1"/>
        <v>5544</v>
      </c>
      <c r="G138" s="35">
        <f>F138/F140</f>
        <v>0.19469026548672566</v>
      </c>
      <c r="H138" s="32">
        <f>F129*G138</f>
        <v>4066.6902654867258</v>
      </c>
      <c r="I138" s="41">
        <f t="shared" si="2"/>
        <v>0.88023598820059001</v>
      </c>
    </row>
    <row r="139" spans="2:13" ht="12.75" customHeight="1" x14ac:dyDescent="0.25">
      <c r="B139" s="33"/>
    </row>
    <row r="140" spans="2:13" ht="12.75" customHeight="1" x14ac:dyDescent="0.25">
      <c r="B140" s="33"/>
      <c r="C140" s="33"/>
      <c r="D140" s="33"/>
      <c r="E140" s="33"/>
      <c r="F140" s="32">
        <f t="shared" ref="F140:H140" si="3">SUM(F136:F138)</f>
        <v>28476</v>
      </c>
      <c r="G140" s="35">
        <f t="shared" si="3"/>
        <v>0.99999999999999989</v>
      </c>
      <c r="H140" s="32">
        <f t="shared" si="3"/>
        <v>20888</v>
      </c>
      <c r="I140" s="33"/>
    </row>
    <row r="141" spans="2:13" ht="12.75" customHeight="1" x14ac:dyDescent="0.25"/>
    <row r="142" spans="2:13" ht="12.75" customHeight="1" x14ac:dyDescent="0.25"/>
    <row r="143" spans="2:13" ht="12.75" customHeight="1" x14ac:dyDescent="0.25"/>
    <row r="144" spans="2:13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4">
    <mergeCell ref="J12:J13"/>
    <mergeCell ref="K12:O12"/>
    <mergeCell ref="P12:T12"/>
    <mergeCell ref="C93:E9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DELL</cp:lastModifiedBy>
  <dcterms:created xsi:type="dcterms:W3CDTF">2006-11-29T15:38:53Z</dcterms:created>
  <dcterms:modified xsi:type="dcterms:W3CDTF">2021-09-23T13:42:59Z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ro">
    <vt:lpwstr>0</vt:lpwstr>
  </property>
  <property fmtid="{D5CDD505-2E9C-101B-9397-08002B2CF9AE}" pid="3" name="Unidad">
    <vt:lpwstr/>
  </property>
</Properties>
</file>